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9690" windowHeight="7050" tabRatio="728" activeTab="0"/>
  </bookViews>
  <sheets>
    <sheet name="Úvod" sheetId="1" r:id="rId1"/>
    <sheet name="M-posouzení" sheetId="2" r:id="rId2"/>
    <sheet name="M,N-Inter.diagram" sheetId="3" r:id="rId3"/>
    <sheet name="V-posouzení" sheetId="4" r:id="rId4"/>
    <sheet name="M-Desky" sheetId="5" r:id="rId5"/>
    <sheet name="Přetvoření" sheetId="6" r:id="rId6"/>
    <sheet name="Kotvení" sheetId="7" r:id="rId7"/>
    <sheet name="Knihovna" sheetId="8" r:id="rId8"/>
    <sheet name="Výpis výztuže" sheetId="9" r:id="rId9"/>
  </sheets>
  <definedNames>
    <definedName name="HTML_CodePage" hidden="1">1250</definedName>
    <definedName name="HTML_Control" localSheetId="5" hidden="1">{"'M-posouzen?'!$A$1:$I$28"}</definedName>
    <definedName name="HTML_Control" hidden="1">{"'M-posouzen?'!$A$1:$I$28"}</definedName>
    <definedName name="HTML_Description" hidden="1">""</definedName>
    <definedName name="HTML_Email" hidden="1">""</definedName>
    <definedName name="HTML_Header" hidden="1">"M-posouzení"</definedName>
    <definedName name="HTML_LastUpdate" hidden="1">"18.8.1998"</definedName>
    <definedName name="HTML_LineAfter" hidden="1">FALSE</definedName>
    <definedName name="HTML_LineBefore" hidden="1">FALSE</definedName>
    <definedName name="HTML_Name" hidden="1">"Jan Hlaváček"</definedName>
    <definedName name="HTML_OBDlg2" hidden="1">TRUE</definedName>
    <definedName name="HTML_OBDlg4" hidden="1">TRUE</definedName>
    <definedName name="HTML_OS" hidden="1">0</definedName>
    <definedName name="HTML_PathFile" hidden="1">"C:\xx\xx\HTML.htm"</definedName>
    <definedName name="HTML_Title" hidden="1">"Zelezo Beton2"</definedName>
    <definedName name="_xlnm.Print_Area" localSheetId="7">'Knihovna'!$B$1:$M$54</definedName>
    <definedName name="_xlnm.Print_Area" localSheetId="6">'Kotvení'!$A$1:$F$19</definedName>
    <definedName name="_xlnm.Print_Area" localSheetId="2">'M,N-Inter.diagram'!$A:$I</definedName>
    <definedName name="_xlnm.Print_Area" localSheetId="4">'M-Desky'!$A$1:$U$26</definedName>
    <definedName name="_xlnm.Print_Area" localSheetId="1">'M-posouzení'!$A$1:$I$72</definedName>
    <definedName name="_xlnm.Print_Area" localSheetId="5">'Přetvoření'!$A$1:$I$80</definedName>
    <definedName name="_xlnm.Print_Area" localSheetId="0">'Úvod'!$A$1:$M$59</definedName>
    <definedName name="_xlnm.Print_Area" localSheetId="3">'V-posouzení'!$A$1:$I$50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Jan Hlaváček</author>
  </authors>
  <commentList>
    <comment ref="B32" authorId="0">
      <text>
        <r>
          <rPr>
            <sz val="9"/>
            <rFont val="Tahoma"/>
            <family val="2"/>
          </rPr>
          <t>Diskriminant kvadratické rovnice:
As1*fyd=As2*[E*0,0035*(x-d2)/x]+0,8*x*Alfa*b*fcd</t>
        </r>
      </text>
    </comment>
    <comment ref="B35" authorId="0">
      <text>
        <r>
          <rPr>
            <sz val="10"/>
            <rFont val="Tahoma"/>
            <family val="2"/>
          </rPr>
          <t>Řešení rovnice:
As1*fyd=As2*[E*0,0035*(x-d2)/x]+0,8*x*Alfa*b*fcd</t>
        </r>
      </text>
    </comment>
    <comment ref="B40" authorId="0">
      <text>
        <r>
          <rPr>
            <sz val="10"/>
            <rFont val="Tahoma"/>
            <family val="2"/>
          </rPr>
          <t>Řešení rovnice:
As1*fyd=As2*fyd+0,8*x*Alfa*b*fcd</t>
        </r>
      </text>
    </comment>
    <comment ref="G68" authorId="0">
      <text>
        <r>
          <rPr>
            <sz val="10"/>
            <rFont val="Tahoma"/>
            <family val="2"/>
          </rPr>
          <t>Mrd=Fs2*zs+Fc*zc</t>
        </r>
      </text>
    </comment>
    <comment ref="E33" authorId="0">
      <text>
        <r>
          <rPr>
            <sz val="10"/>
            <rFont val="Tahoma"/>
            <family val="2"/>
          </rPr>
          <t>=0.0035*(d-x)/x</t>
        </r>
      </text>
    </comment>
    <comment ref="E34" authorId="0">
      <text>
        <r>
          <rPr>
            <sz val="10"/>
            <rFont val="Tahoma"/>
            <family val="2"/>
          </rPr>
          <t>=0.0035*(x-d2)/x</t>
        </r>
      </text>
    </comment>
    <comment ref="E40" authorId="0">
      <text>
        <r>
          <rPr>
            <sz val="10"/>
            <rFont val="Tahoma"/>
            <family val="2"/>
          </rPr>
          <t>=0.00035*(d-x)/x</t>
        </r>
      </text>
    </comment>
    <comment ref="E41" authorId="0">
      <text>
        <r>
          <rPr>
            <sz val="10"/>
            <rFont val="Tahoma"/>
            <family val="2"/>
          </rPr>
          <t>=0.00035*(x-d2)/x</t>
        </r>
      </text>
    </comment>
    <comment ref="A65" authorId="0">
      <text>
        <r>
          <rPr>
            <sz val="10"/>
            <rFont val="Tahoma"/>
            <family val="2"/>
          </rPr>
          <t>=x/d</t>
        </r>
      </text>
    </comment>
    <comment ref="A66" authorId="0">
      <text>
        <r>
          <rPr>
            <sz val="10"/>
            <rFont val="Tahoma"/>
            <family val="2"/>
          </rPr>
          <t>stupeň vyztužení
=As1/(b*d)</t>
        </r>
      </text>
    </comment>
    <comment ref="A68" authorId="0">
      <text>
        <r>
          <rPr>
            <sz val="10"/>
            <rFont val="Tahoma"/>
            <family val="2"/>
          </rPr>
          <t>=d-0.4*x</t>
        </r>
      </text>
    </comment>
    <comment ref="A69" authorId="0">
      <text>
        <r>
          <rPr>
            <sz val="10"/>
            <rFont val="Tahoma"/>
            <family val="2"/>
          </rPr>
          <t>=d-d2</t>
        </r>
      </text>
    </comment>
    <comment ref="A67" authorId="0">
      <text>
        <r>
          <rPr>
            <sz val="10"/>
            <rFont val="Tahoma"/>
            <family val="2"/>
          </rPr>
          <t>=As1/(b*h)</t>
        </r>
      </text>
    </comment>
    <comment ref="D66" authorId="0">
      <text>
        <r>
          <rPr>
            <sz val="10"/>
            <rFont val="Tahoma"/>
            <family val="2"/>
          </rPr>
          <t>=0.6/fyk</t>
        </r>
      </text>
    </comment>
    <comment ref="B66" authorId="0">
      <text>
        <r>
          <rPr>
            <sz val="10"/>
            <rFont val="Tahoma"/>
            <family val="2"/>
          </rPr>
          <t>stupeň vyztužení
&gt;0.6/fyk
&gt;0.0015</t>
        </r>
      </text>
    </comment>
    <comment ref="B67" authorId="0">
      <text>
        <r>
          <rPr>
            <sz val="10"/>
            <rFont val="Tahoma"/>
            <family val="2"/>
          </rPr>
          <t>stupeň vyztužení
&lt;0.04</t>
        </r>
      </text>
    </comment>
    <comment ref="B65" authorId="0">
      <text>
        <r>
          <rPr>
            <sz val="10"/>
            <rFont val="Tahoma"/>
            <family val="2"/>
          </rPr>
          <t>desky-0.15 až 0.2
trámy-0.3 a více</t>
        </r>
      </text>
    </comment>
    <comment ref="E46" authorId="0">
      <text>
        <r>
          <rPr>
            <sz val="10"/>
            <rFont val="Tahoma"/>
            <family val="2"/>
          </rPr>
          <t>=0.0035*(d-x)/x</t>
        </r>
      </text>
    </comment>
    <comment ref="E47" authorId="0">
      <text>
        <r>
          <rPr>
            <sz val="10"/>
            <rFont val="Tahoma"/>
            <family val="2"/>
          </rPr>
          <t>=0.0035*(x-d2)/x</t>
        </r>
      </text>
    </comment>
    <comment ref="B45" authorId="0">
      <text>
        <r>
          <rPr>
            <sz val="9"/>
            <rFont val="Tahoma"/>
            <family val="2"/>
          </rPr>
          <t>Diskriminant kvadratické rovnice:
As1*[E*0.0035*(d-x)/x]=As2*fyd+0,8*x*Alfa*b*fcd</t>
        </r>
      </text>
    </comment>
    <comment ref="B48" authorId="0">
      <text>
        <r>
          <rPr>
            <sz val="9"/>
            <rFont val="Tahoma"/>
            <family val="2"/>
          </rPr>
          <t>Řešení rovnice:
As1*[E*0.0035*(d-x)/x]=As2*fyd+0,8*x*Alfa*b*fcd</t>
        </r>
      </text>
    </comment>
    <comment ref="E54" authorId="0">
      <text>
        <r>
          <rPr>
            <sz val="10"/>
            <rFont val="Tahoma"/>
            <family val="2"/>
          </rPr>
          <t>=0.0035*(d-x)/x</t>
        </r>
      </text>
    </comment>
    <comment ref="E55" authorId="0">
      <text>
        <r>
          <rPr>
            <sz val="10"/>
            <rFont val="Tahoma"/>
            <family val="2"/>
          </rPr>
          <t>=0.0035*(x-d2)/x</t>
        </r>
      </text>
    </comment>
    <comment ref="B53" authorId="0">
      <text>
        <r>
          <rPr>
            <sz val="9"/>
            <rFont val="Tahoma"/>
            <family val="2"/>
          </rPr>
          <t>Diskriminant kvadratické rovnice:
As1*[E*0.0035*(d-x)/x]=As2*[E*0.0035*(x-d2)/x]+0,8*x*Alfa*b*fcd</t>
        </r>
      </text>
    </comment>
    <comment ref="B56" authorId="0">
      <text>
        <r>
          <rPr>
            <sz val="9"/>
            <rFont val="Tahoma"/>
            <family val="2"/>
          </rPr>
          <t>Řešení rovnice:
As1*[E*0.0035*(d-x)/x]=As2*[E*0.0035*(x-d2)/x]+0,8*x*Alfa*b*fcd</t>
        </r>
      </text>
    </comment>
    <comment ref="G69" authorId="0">
      <text>
        <r>
          <rPr>
            <sz val="10"/>
            <rFont val="Tahoma"/>
            <family val="2"/>
          </rPr>
          <t>využití průřezu musí být menší než 100%</t>
        </r>
      </text>
    </comment>
    <comment ref="A17" authorId="0">
      <text>
        <r>
          <rPr>
            <sz val="10"/>
            <rFont val="Tahoma"/>
            <family val="2"/>
          </rPr>
          <t>0 až 5mm pro prefabrikáty,
5 až 10mm pro monolity.</t>
        </r>
      </text>
    </comment>
    <comment ref="A18" authorId="0">
      <text>
        <r>
          <rPr>
            <sz val="10"/>
            <rFont val="Tahoma"/>
            <family val="2"/>
          </rPr>
          <t>15 až 40 mm, dle průměru kameniva, třídy prostředí a typu prvku.</t>
        </r>
      </text>
    </comment>
    <comment ref="A11" authorId="0">
      <text>
        <r>
          <rPr>
            <sz val="10"/>
            <rFont val="Tahoma"/>
            <family val="2"/>
          </rPr>
          <t>=1 (NAD ČR)
=0.85 (EC2)</t>
        </r>
      </text>
    </comment>
    <comment ref="D9" authorId="0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3.xml><?xml version="1.0" encoding="utf-8"?>
<comments xmlns="http://schemas.openxmlformats.org/spreadsheetml/2006/main">
  <authors>
    <author>Jan Hlaváček</author>
  </authors>
  <commentList>
    <comment ref="C42" authorId="0">
      <text>
        <r>
          <rPr>
            <sz val="9"/>
            <rFont val="Tahoma"/>
            <family val="2"/>
          </rPr>
          <t>Hodnoty Mrd3 a Mrd3' je nutno zadat manuálně či převést z výpočtu z listu 'M-posouzení'.
Mrd3-As1 tažena;As2 tlačena
Mrd3'-As1 tlačena;As2 tažena</t>
        </r>
      </text>
    </comment>
    <comment ref="C46" authorId="0">
      <text>
        <r>
          <rPr>
            <sz val="9"/>
            <rFont val="Tahoma"/>
            <family val="2"/>
          </rPr>
          <t>Hodnoty Mrd3 a Mrd3' je nutno zadat manuálně či převést z výpočtu z listu 'M-posouzení'.
Mrd3-As1 tažena;As2 tlačena
Mrd3'-As1 tlačena;As2 tažena</t>
        </r>
      </text>
    </comment>
    <comment ref="A40" authorId="0">
      <text>
        <r>
          <rPr>
            <sz val="9"/>
            <rFont val="Tahoma"/>
            <family val="2"/>
          </rPr>
          <t>pro polohu n.o. x = d</t>
        </r>
      </text>
    </comment>
    <comment ref="A41" authorId="0">
      <text>
        <r>
          <rPr>
            <sz val="9"/>
            <rFont val="Tahoma"/>
            <family val="2"/>
          </rPr>
          <t>pro polohu n.o. x = x lim</t>
        </r>
      </text>
    </comment>
    <comment ref="A39" authorId="0">
      <text>
        <r>
          <rPr>
            <sz val="9"/>
            <rFont val="Tahoma"/>
            <family val="2"/>
          </rPr>
          <t>pro polohu n.o. x = h</t>
        </r>
      </text>
    </comment>
    <comment ref="A43" authorId="0">
      <text>
        <r>
          <rPr>
            <sz val="9"/>
            <rFont val="Tahoma"/>
            <family val="2"/>
          </rPr>
          <t>pro polohu n.o. x = d2</t>
        </r>
      </text>
    </comment>
    <comment ref="A42" authorId="0">
      <text>
        <r>
          <rPr>
            <sz val="9"/>
            <rFont val="Tahoma"/>
            <family val="2"/>
          </rPr>
          <t>čistý ohyb</t>
        </r>
      </text>
    </comment>
    <comment ref="A17" authorId="0">
      <text>
        <r>
          <rPr>
            <sz val="10"/>
            <rFont val="Tahoma"/>
            <family val="2"/>
          </rPr>
          <t>0 až 5mm pro prefabrikáty,
5 až 10mm pro monolity.</t>
        </r>
      </text>
    </comment>
    <comment ref="A18" authorId="0">
      <text>
        <r>
          <rPr>
            <sz val="10"/>
            <rFont val="Tahoma"/>
            <family val="2"/>
          </rPr>
          <t>15 až 40 mm, dle průměru kameniva, třídy prostředí a typu prvku.</t>
        </r>
      </text>
    </comment>
    <comment ref="A11" authorId="0">
      <text>
        <r>
          <rPr>
            <sz val="10"/>
            <rFont val="Tahoma"/>
            <family val="2"/>
          </rPr>
          <t>=1 (NAD ČR)
=0.85 (EC2)</t>
        </r>
      </text>
    </comment>
    <comment ref="D9" authorId="0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4.xml><?xml version="1.0" encoding="utf-8"?>
<comments xmlns="http://schemas.openxmlformats.org/spreadsheetml/2006/main">
  <authors>
    <author>Jan Hlaváček</author>
  </authors>
  <commentList>
    <comment ref="G10" authorId="0">
      <text>
        <r>
          <rPr>
            <sz val="10"/>
            <rFont val="Tahoma"/>
            <family val="2"/>
          </rPr>
          <t>počet příčných střihů(obvykle 2)</t>
        </r>
      </text>
    </comment>
    <comment ref="G11" authorId="0">
      <text>
        <r>
          <rPr>
            <sz val="10"/>
            <rFont val="Tahoma"/>
            <family val="2"/>
          </rPr>
          <t>Podélná rozteč, většinou - s max = 300 mm.</t>
        </r>
      </text>
    </comment>
    <comment ref="B31" authorId="0">
      <text>
        <r>
          <rPr>
            <sz val="10"/>
            <rFont val="Tahoma"/>
            <family val="2"/>
          </rPr>
          <t>pokud do podpory dovedeno méně jak 50% spodní podélné výztuže - k=1</t>
        </r>
      </text>
    </comment>
    <comment ref="B30" authorId="0">
      <text>
        <r>
          <rPr>
            <sz val="10"/>
            <rFont val="Tahoma"/>
            <family val="2"/>
          </rPr>
          <t>Při přímém působení osamělé síly ve vzdálenosti x&lt;2.5d od líce přímé podpory - beta=2.5d/x &lt;= 5. Jinak beta=1.</t>
        </r>
      </text>
    </comment>
    <comment ref="B35" authorId="0">
      <text>
        <r>
          <rPr>
            <sz val="10"/>
            <rFont val="Tahoma"/>
            <family val="2"/>
          </rPr>
          <t>stupeň smyk.vyztužení
=Asw/(s*b)</t>
        </r>
      </text>
    </comment>
    <comment ref="D35" authorId="0">
      <text>
        <r>
          <rPr>
            <sz val="10"/>
            <rFont val="Tahoma"/>
            <family val="2"/>
          </rPr>
          <t>minimální stupeň smyk.vyztužení
0.0004 až 0.003 dle EC2 tab 14.2</t>
        </r>
      </text>
    </comment>
    <comment ref="D36" authorId="0">
      <text>
        <r>
          <rPr>
            <sz val="10"/>
            <rFont val="Tahoma"/>
            <family val="2"/>
          </rPr>
          <t>maximální stupeň smyk.vyztužení
=0.5*ni*fcd/fywd</t>
        </r>
      </text>
    </comment>
    <comment ref="G13" authorId="0">
      <text>
        <r>
          <rPr>
            <sz val="10"/>
            <rFont val="Tahoma"/>
            <family val="2"/>
          </rPr>
          <t>=Asw*0.9d/s</t>
        </r>
      </text>
    </comment>
    <comment ref="G9" authorId="0">
      <text>
        <r>
          <rPr>
            <sz val="10"/>
            <rFont val="Tahoma"/>
            <family val="2"/>
          </rPr>
          <t>Pro třmínky z hladké ocele maximálně průměr 12 mm.</t>
        </r>
      </text>
    </comment>
    <comment ref="B46" authorId="0">
      <text>
        <r>
          <rPr>
            <sz val="10"/>
            <rFont val="Tahoma"/>
            <family val="2"/>
          </rPr>
          <t>využití průřezu musí být menší než 100%</t>
        </r>
      </text>
    </comment>
    <comment ref="A17" authorId="0">
      <text>
        <r>
          <rPr>
            <sz val="10"/>
            <rFont val="Tahoma"/>
            <family val="2"/>
          </rPr>
          <t>0 až 5mm pro prefabrikáty,
5 až 10mm pro monolity.</t>
        </r>
      </text>
    </comment>
    <comment ref="A18" authorId="0">
      <text>
        <r>
          <rPr>
            <sz val="10"/>
            <rFont val="Tahoma"/>
            <family val="2"/>
          </rPr>
          <t>15 až 40 mm, dle průměru kameniva, třídy prostředí a typu prvku.</t>
        </r>
      </text>
    </comment>
    <comment ref="A11" authorId="0">
      <text>
        <r>
          <rPr>
            <sz val="10"/>
            <rFont val="Tahoma"/>
            <family val="2"/>
          </rPr>
          <t>=1 (NAD ČR)
=0.85 (EC2)</t>
        </r>
      </text>
    </comment>
    <comment ref="B33" authorId="0">
      <text>
        <r>
          <rPr>
            <sz val="10"/>
            <rFont val="Tahoma"/>
            <family val="2"/>
          </rPr>
          <t>=0.7 - fck[Mpa] / 200,
zohledňuje příčný tah.</t>
        </r>
      </text>
    </comment>
    <comment ref="D9" authorId="0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5.xml><?xml version="1.0" encoding="utf-8"?>
<comments xmlns="http://schemas.openxmlformats.org/spreadsheetml/2006/main">
  <authors>
    <author>Jan Hlaváček</author>
  </authors>
  <commentList>
    <comment ref="L12" authorId="0">
      <text>
        <r>
          <rPr>
            <sz val="10"/>
            <rFont val="Tahoma"/>
            <family val="2"/>
          </rPr>
          <t>=As*fyd/(b*0.8*ALFA*fcd)</t>
        </r>
      </text>
    </comment>
    <comment ref="P12" authorId="0">
      <text>
        <r>
          <rPr>
            <sz val="10"/>
            <rFont val="Tahoma"/>
            <family val="2"/>
          </rPr>
          <t>desky-0.15 až 0.2
trámy-0.3 a více</t>
        </r>
      </text>
    </comment>
    <comment ref="G2" authorId="0">
      <text>
        <r>
          <rPr>
            <sz val="10"/>
            <rFont val="Tahoma"/>
            <family val="2"/>
          </rPr>
          <t>0 až 5mm pro prefabrikáty,
5 až 10mm pro monolity.</t>
        </r>
      </text>
    </comment>
    <comment ref="G3" authorId="0">
      <text>
        <r>
          <rPr>
            <sz val="10"/>
            <rFont val="Tahoma"/>
            <family val="2"/>
          </rPr>
          <t>15 až 40 mm, dle průměru kameniva, třídy prostředí a typu prvku.</t>
        </r>
      </text>
    </comment>
    <comment ref="A7" authorId="0">
      <text>
        <r>
          <rPr>
            <sz val="10"/>
            <rFont val="Tahoma"/>
            <family val="2"/>
          </rPr>
          <t>=1 (NAD ČR)
=0.85 (EC2)</t>
        </r>
      </text>
    </comment>
    <comment ref="D5" authorId="0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Jan Hlaváček</author>
  </authors>
  <commentList>
    <comment ref="E19" authorId="0">
      <text>
        <r>
          <rPr>
            <sz val="8"/>
            <rFont val="Tahoma"/>
            <family val="0"/>
          </rPr>
          <t>=As*d
Bráno As=As1</t>
        </r>
      </text>
    </comment>
    <comment ref="F27" authorId="0">
      <text>
        <r>
          <rPr>
            <sz val="8"/>
            <rFont val="Tahoma"/>
            <family val="0"/>
          </rPr>
          <t>=b*h+alfa e*(As1+As2)</t>
        </r>
      </text>
    </comment>
    <comment ref="F41" authorId="0">
      <text>
        <r>
          <rPr>
            <sz val="8"/>
            <rFont val="Tahoma"/>
            <family val="0"/>
          </rPr>
          <t>=b*h+alfa e*(As1+As2)</t>
        </r>
      </text>
    </comment>
    <comment ref="F55" authorId="0">
      <text>
        <r>
          <rPr>
            <sz val="8"/>
            <rFont val="Tahoma"/>
            <family val="0"/>
          </rPr>
          <t>=b*h+alfa e*(As1+As2)</t>
        </r>
      </text>
    </comment>
    <comment ref="D62" authorId="0">
      <text>
        <r>
          <rPr>
            <sz val="8"/>
            <rFont val="Tahoma"/>
            <family val="0"/>
          </rPr>
          <t>=(Sc0+alfa e*Ss0)/Ai</t>
        </r>
      </text>
    </comment>
    <comment ref="I25" authorId="0">
      <text>
        <r>
          <rPr>
            <sz val="8"/>
            <rFont val="Tahoma"/>
            <family val="0"/>
          </rPr>
          <t>vliv soudržnosti
=1.0 vložky s velkou soudržností
=0.5 vložky hladké</t>
        </r>
      </text>
    </comment>
    <comment ref="I26" authorId="0">
      <text>
        <r>
          <rPr>
            <sz val="8"/>
            <rFont val="Tahoma"/>
            <family val="0"/>
          </rPr>
          <t>vliv trvání zatížení
=1.0 jednorázové krátkodobé
=0.5 dlouhodobé nebo opakované</t>
        </r>
      </text>
    </comment>
    <comment ref="E22" authorId="0">
      <text>
        <r>
          <rPr>
            <sz val="8"/>
            <rFont val="Tahoma"/>
            <family val="0"/>
          </rPr>
          <t>Kvazistálá kombinace zatížení</t>
        </r>
      </text>
    </comment>
    <comment ref="I40" authorId="0">
      <text>
        <r>
          <rPr>
            <sz val="8"/>
            <rFont val="Tahoma"/>
            <family val="0"/>
          </rPr>
          <t>vliv trvání zatížení
=1.0 jednorázové krátkodobé
=0.5 dlouhodobé nebo opakované</t>
        </r>
      </text>
    </comment>
    <comment ref="I39" authorId="0">
      <text>
        <r>
          <rPr>
            <sz val="8"/>
            <rFont val="Tahoma"/>
            <family val="0"/>
          </rPr>
          <t>vliv soudržnosti
=1.0 vložky s velkou soudržností
=0.5 vložky hladké</t>
        </r>
      </text>
    </comment>
    <comment ref="D66" authorId="0">
      <text>
        <r>
          <rPr>
            <sz val="8"/>
            <rFont val="Tahoma"/>
            <family val="0"/>
          </rPr>
          <t>f = k*L^2*(1/r).
Pro prostý nosník k = 5/48.
Jinak skripta str.138.</t>
        </r>
      </text>
    </comment>
    <comment ref="D67" authorId="0">
      <text>
        <r>
          <rPr>
            <sz val="8"/>
            <rFont val="Tahoma"/>
            <family val="0"/>
          </rPr>
          <t>f=1/8*L^2*(1/r)</t>
        </r>
      </text>
    </comment>
    <comment ref="E17" authorId="0">
      <text>
        <r>
          <rPr>
            <sz val="8"/>
            <rFont val="Tahoma"/>
            <family val="0"/>
          </rPr>
          <t>=b*h</t>
        </r>
      </text>
    </comment>
    <comment ref="E18" authorId="0">
      <text>
        <r>
          <rPr>
            <sz val="8"/>
            <rFont val="Tahoma"/>
            <family val="0"/>
          </rPr>
          <t>=Ac*h/2</t>
        </r>
      </text>
    </comment>
    <comment ref="H18" authorId="0">
      <text>
        <r>
          <rPr>
            <sz val="8"/>
            <rFont val="Tahoma"/>
            <family val="0"/>
          </rPr>
          <t>=b*h^3/3 =
=1/12*b*h^3+b*h*(h/2)^2</t>
        </r>
      </text>
    </comment>
    <comment ref="H19" authorId="0">
      <text>
        <r>
          <rPr>
            <sz val="8"/>
            <rFont val="Tahoma"/>
            <family val="0"/>
          </rPr>
          <t>=Ss0*d</t>
        </r>
      </text>
    </comment>
    <comment ref="H17" authorId="0">
      <text>
        <r>
          <rPr>
            <sz val="8"/>
            <rFont val="Tahoma"/>
            <family val="0"/>
          </rPr>
          <t>=Ss0/As</t>
        </r>
      </text>
    </comment>
    <comment ref="H68" authorId="0">
      <text>
        <r>
          <rPr>
            <sz val="8"/>
            <rFont val="Tahoma"/>
            <family val="0"/>
          </rPr>
          <t>požadavek E2
f lim=1/250*L</t>
        </r>
      </text>
    </comment>
    <comment ref="E71" authorId="0">
      <text>
        <r>
          <rPr>
            <sz val="8"/>
            <rFont val="Tahoma"/>
            <family val="0"/>
          </rPr>
          <t>vliv soudržnosti
=1.0 vložky s velkou soudržností
=0.5 vložky hladké</t>
        </r>
      </text>
    </comment>
    <comment ref="E72" authorId="0">
      <text>
        <r>
          <rPr>
            <sz val="8"/>
            <rFont val="Tahoma"/>
            <family val="0"/>
          </rPr>
          <t>vliv trvání zatížení
=1.0 jednorázové krátkodobé
=0.5 dlouhodobé nebo opakované</t>
        </r>
      </text>
    </comment>
    <comment ref="B71" authorId="0">
      <text>
        <r>
          <rPr>
            <sz val="8"/>
            <rFont val="Tahoma"/>
            <family val="0"/>
          </rPr>
          <t>Napětí v As1 v průřezu s trhlinou při zatížení na mezi vzniku trhliny Mcr.</t>
        </r>
      </text>
    </comment>
    <comment ref="B72" authorId="0">
      <text>
        <r>
          <rPr>
            <sz val="8"/>
            <rFont val="Tahoma"/>
            <family val="0"/>
          </rPr>
          <t>Napětí v As1 v průřezu s trhlinou od Msgk.</t>
        </r>
      </text>
    </comment>
    <comment ref="E74" authorId="0">
      <text>
        <r>
          <rPr>
            <sz val="8"/>
            <rFont val="Tahoma"/>
            <family val="0"/>
          </rPr>
          <t>vliv soudržnosti
=0.8 vložky s velkou soudržností
=0.6 vložky hladké</t>
        </r>
      </text>
    </comment>
    <comment ref="E75" authorId="0">
      <text>
        <r>
          <rPr>
            <sz val="8"/>
            <rFont val="Tahoma"/>
            <family val="0"/>
          </rPr>
          <t>vliv dělení přetvoření v betonu
=0.5 pro ohyb
=1.0 pro tah
= ...</t>
        </r>
      </text>
    </comment>
    <comment ref="B77" authorId="0">
      <text>
        <r>
          <rPr>
            <sz val="8"/>
            <rFont val="Tahoma"/>
            <family val="0"/>
          </rPr>
          <t>Převod prům.šířky na výpočtovou
=1.7 vyvolané vnějším zat.
=1.3 ...</t>
        </r>
      </text>
    </comment>
    <comment ref="B74" authorId="0">
      <text>
        <r>
          <rPr>
            <sz val="8"/>
            <rFont val="Tahoma"/>
            <family val="0"/>
          </rPr>
          <t>průměr prutu</t>
        </r>
      </text>
    </comment>
    <comment ref="A17" authorId="1">
      <text>
        <r>
          <rPr>
            <sz val="10"/>
            <rFont val="Tahoma"/>
            <family val="2"/>
          </rPr>
          <t>0 až 5mm pro prefabrikáty,
5 až 10mm pro monolity.</t>
        </r>
      </text>
    </comment>
    <comment ref="A18" authorId="1">
      <text>
        <r>
          <rPr>
            <sz val="10"/>
            <rFont val="Tahoma"/>
            <family val="2"/>
          </rPr>
          <t>15 až 40 mm, dle průměru kameniva, třídy prostředí a typu prvku.</t>
        </r>
      </text>
    </comment>
    <comment ref="A11" authorId="1">
      <text>
        <r>
          <rPr>
            <sz val="10"/>
            <rFont val="Tahoma"/>
            <family val="2"/>
          </rPr>
          <t>=1 (NAD ČR)
=0.85 (EC2)</t>
        </r>
      </text>
    </comment>
    <comment ref="D9" authorId="1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7.xml><?xml version="1.0" encoding="utf-8"?>
<comments xmlns="http://schemas.openxmlformats.org/spreadsheetml/2006/main">
  <authors>
    <author>Jan Hlaváček</author>
  </authors>
  <commentList>
    <comment ref="A8" authorId="0">
      <text>
        <r>
          <rPr>
            <sz val="10"/>
            <rFont val="Tahoma"/>
            <family val="2"/>
          </rPr>
          <t>=1 (NAD ČR)
=0.85 (EC2)</t>
        </r>
      </text>
    </comment>
    <comment ref="A14" authorId="0">
      <text>
        <r>
          <rPr>
            <sz val="10"/>
            <rFont val="Tahoma"/>
            <family val="2"/>
          </rPr>
          <t>Návrhové napětí v soudržnosti, závisí na druhu povrchu prutu a na pevnosti betonu.</t>
        </r>
      </text>
    </comment>
    <comment ref="A16" authorId="0">
      <text>
        <r>
          <rPr>
            <sz val="10"/>
            <rFont val="Tahoma"/>
            <family val="2"/>
          </rPr>
          <t>Alfa a = 1.0 pro přímé vložky,
alfa a = 0.7 pro tvarově upravené, pokud je tl. krycí vrstvy háku ve směru kolmém k rovině zakřivení alespoň tři profily.</t>
        </r>
      </text>
    </comment>
    <comment ref="D5" authorId="0">
      <text>
        <r>
          <rPr>
            <sz val="10"/>
            <rFont val="Tahoma"/>
            <family val="2"/>
          </rPr>
          <t>=200 000 MPa</t>
        </r>
      </text>
    </comment>
  </commentList>
</comments>
</file>

<file path=xl/comments8.xml><?xml version="1.0" encoding="utf-8"?>
<comments xmlns="http://schemas.openxmlformats.org/spreadsheetml/2006/main">
  <authors>
    <author>Jan Hlaváček</author>
  </authors>
  <commentList>
    <comment ref="C15" authorId="0">
      <text>
        <r>
          <rPr>
            <sz val="10"/>
            <rFont val="Tahoma"/>
            <family val="2"/>
          </rPr>
          <t>pro list M-posouzení</t>
        </r>
      </text>
    </comment>
    <comment ref="C28" authorId="0">
      <text>
        <r>
          <rPr>
            <sz val="10"/>
            <rFont val="Tahoma"/>
            <family val="2"/>
          </rPr>
          <t>pro list M-posouzení</t>
        </r>
      </text>
    </comment>
    <comment ref="D28" authorId="0">
      <text>
        <r>
          <rPr>
            <sz val="10"/>
            <rFont val="Tahoma"/>
            <family val="2"/>
          </rPr>
          <t>pro list M-posouzení</t>
        </r>
      </text>
    </comment>
    <comment ref="C52" authorId="0">
      <text>
        <r>
          <rPr>
            <sz val="10"/>
            <rFont val="Tahoma"/>
            <family val="2"/>
          </rPr>
          <t>pro list M-posouzení</t>
        </r>
      </text>
    </comment>
    <comment ref="D52" authorId="0">
      <text>
        <r>
          <rPr>
            <sz val="10"/>
            <rFont val="Tahoma"/>
            <family val="2"/>
          </rPr>
          <t>pro list M-posouzení</t>
        </r>
      </text>
    </comment>
    <comment ref="E52" authorId="0">
      <text>
        <r>
          <rPr>
            <sz val="10"/>
            <rFont val="Tahoma"/>
            <family val="2"/>
          </rPr>
          <t>pro list V-posouzení</t>
        </r>
      </text>
    </comment>
    <comment ref="F52" authorId="0">
      <text>
        <r>
          <rPr>
            <sz val="10"/>
            <rFont val="Tahoma"/>
            <family val="2"/>
          </rPr>
          <t>pro list V-posouzení</t>
        </r>
      </text>
    </comment>
    <comment ref="E28" authorId="0">
      <text>
        <r>
          <rPr>
            <sz val="10"/>
            <rFont val="Tahoma"/>
            <family val="2"/>
          </rPr>
          <t>pro list V-posouzení</t>
        </r>
      </text>
    </comment>
    <comment ref="F28" authorId="0">
      <text>
        <r>
          <rPr>
            <sz val="10"/>
            <rFont val="Tahoma"/>
            <family val="2"/>
          </rPr>
          <t>pro list V-posouzení</t>
        </r>
      </text>
    </comment>
    <comment ref="D15" authorId="0">
      <text>
        <r>
          <rPr>
            <sz val="10"/>
            <rFont val="Tahoma"/>
            <family val="2"/>
          </rPr>
          <t>pro list V-posouzení</t>
        </r>
      </text>
    </comment>
    <comment ref="G28" authorId="0">
      <text>
        <r>
          <rPr>
            <sz val="10"/>
            <rFont val="Tahoma"/>
            <family val="2"/>
          </rPr>
          <t>pro list V-posouzení</t>
        </r>
      </text>
    </comment>
    <comment ref="G52" authorId="0">
      <text>
        <r>
          <rPr>
            <sz val="10"/>
            <rFont val="Tahoma"/>
            <family val="2"/>
          </rPr>
          <t>pro list V-posouzení</t>
        </r>
      </text>
    </comment>
    <comment ref="E15" authorId="0">
      <text>
        <r>
          <rPr>
            <sz val="10"/>
            <rFont val="Tahoma"/>
            <family val="2"/>
          </rPr>
          <t>pro list M,N-Inter.diagram</t>
        </r>
      </text>
    </comment>
    <comment ref="H28" authorId="0">
      <text>
        <r>
          <rPr>
            <sz val="10"/>
            <rFont val="Tahoma"/>
            <family val="2"/>
          </rPr>
          <t>pro list M,N-Inter.diagram</t>
        </r>
      </text>
    </comment>
    <comment ref="H52" authorId="0">
      <text>
        <r>
          <rPr>
            <sz val="10"/>
            <rFont val="Tahoma"/>
            <family val="2"/>
          </rPr>
          <t>pro list M,N-Iter.diagram</t>
        </r>
      </text>
    </comment>
    <comment ref="I52" authorId="0">
      <text>
        <r>
          <rPr>
            <sz val="10"/>
            <rFont val="Tahoma"/>
            <family val="2"/>
          </rPr>
          <t>pro list M,N-Iter.diagram</t>
        </r>
      </text>
    </comment>
    <comment ref="F15" authorId="0">
      <text>
        <r>
          <rPr>
            <sz val="10"/>
            <rFont val="Tahoma"/>
            <family val="2"/>
          </rPr>
          <t>pro list Kotvení</t>
        </r>
      </text>
    </comment>
    <comment ref="I28" authorId="0">
      <text>
        <r>
          <rPr>
            <sz val="10"/>
            <rFont val="Tahoma"/>
            <family val="2"/>
          </rPr>
          <t>pro list Kotvení</t>
        </r>
      </text>
    </comment>
    <comment ref="J52" authorId="0">
      <text>
        <r>
          <rPr>
            <sz val="10"/>
            <rFont val="Tahoma"/>
            <family val="2"/>
          </rPr>
          <t>pro list Kotvení</t>
        </r>
      </text>
    </comment>
    <comment ref="G15" authorId="0">
      <text>
        <r>
          <rPr>
            <sz val="10"/>
            <rFont val="Tahoma"/>
            <family val="2"/>
          </rPr>
          <t>pro list Přetvoření</t>
        </r>
      </text>
    </comment>
    <comment ref="J28" authorId="0">
      <text>
        <r>
          <rPr>
            <sz val="10"/>
            <rFont val="Tahoma"/>
            <family val="2"/>
          </rPr>
          <t>pro list Přetvoření</t>
        </r>
      </text>
    </comment>
    <comment ref="K28" authorId="0">
      <text>
        <r>
          <rPr>
            <sz val="10"/>
            <rFont val="Tahoma"/>
            <family val="2"/>
          </rPr>
          <t>pro list Přetvoření</t>
        </r>
      </text>
    </comment>
    <comment ref="K52" authorId="0">
      <text>
        <r>
          <rPr>
            <sz val="10"/>
            <rFont val="Tahoma"/>
            <family val="2"/>
          </rPr>
          <t>pro list Přetvoření</t>
        </r>
      </text>
    </comment>
    <comment ref="L52" authorId="0">
      <text>
        <r>
          <rPr>
            <sz val="10"/>
            <rFont val="Tahoma"/>
            <family val="2"/>
          </rPr>
          <t>pro list Přetvoření</t>
        </r>
      </text>
    </comment>
    <comment ref="H15" authorId="0">
      <text>
        <r>
          <rPr>
            <sz val="10"/>
            <rFont val="Tahoma"/>
            <family val="2"/>
          </rPr>
          <t>pro list M-Desky</t>
        </r>
      </text>
    </comment>
    <comment ref="L28" authorId="0">
      <text>
        <r>
          <rPr>
            <sz val="10"/>
            <rFont val="Tahoma"/>
            <family val="2"/>
          </rPr>
          <t>pro list M-Desky</t>
        </r>
      </text>
    </comment>
    <comment ref="F24" authorId="0">
      <text>
        <r>
          <rPr>
            <sz val="10"/>
            <rFont val="Tahoma"/>
            <family val="2"/>
          </rPr>
          <t>dle ČSN f yk=490MPa</t>
        </r>
      </text>
    </comment>
  </commentList>
</comments>
</file>

<file path=xl/sharedStrings.xml><?xml version="1.0" encoding="utf-8"?>
<sst xmlns="http://schemas.openxmlformats.org/spreadsheetml/2006/main" count="968" uniqueCount="396">
  <si>
    <t>b=</t>
  </si>
  <si>
    <t>m</t>
  </si>
  <si>
    <t>h=</t>
  </si>
  <si>
    <t>Charakteristiky betonu</t>
  </si>
  <si>
    <t>Charakteristiky výztuže</t>
  </si>
  <si>
    <t>Krytí výztuže</t>
  </si>
  <si>
    <t>Beton</t>
  </si>
  <si>
    <t>Výztuž</t>
  </si>
  <si>
    <t>mm</t>
  </si>
  <si>
    <t>f ck=</t>
  </si>
  <si>
    <t>MPa</t>
  </si>
  <si>
    <t>c min =</t>
  </si>
  <si>
    <t>f ctm=</t>
  </si>
  <si>
    <t>E=</t>
  </si>
  <si>
    <t>GPa</t>
  </si>
  <si>
    <t>E cm=</t>
  </si>
  <si>
    <t>Gpa</t>
  </si>
  <si>
    <t>Mpa</t>
  </si>
  <si>
    <t xml:space="preserve">m </t>
  </si>
  <si>
    <t>d =h-d1</t>
  </si>
  <si>
    <t>Posouzení</t>
  </si>
  <si>
    <t>třmínky</t>
  </si>
  <si>
    <t>k=</t>
  </si>
  <si>
    <t>Pevnost v tlaku</t>
  </si>
  <si>
    <t>Pevnost v tahu</t>
  </si>
  <si>
    <t>beton</t>
  </si>
  <si>
    <t>f ck</t>
  </si>
  <si>
    <t>f cm</t>
  </si>
  <si>
    <t>f ctm</t>
  </si>
  <si>
    <t>f ctk 0,05</t>
  </si>
  <si>
    <t>f ctk 0,95</t>
  </si>
  <si>
    <t>E cm</t>
  </si>
  <si>
    <t>pro výpočet únosnosti</t>
  </si>
  <si>
    <t>pro výpočet účinku zatížení</t>
  </si>
  <si>
    <t>smyková pevnost</t>
  </si>
  <si>
    <t>10^-4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</si>
  <si>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</si>
  <si>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</si>
  <si>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</si>
  <si>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</si>
  <si>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</si>
  <si>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</si>
  <si>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</si>
  <si>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</si>
  <si>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</si>
  <si>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Pomocné</t>
  </si>
  <si>
    <t>výztuž</t>
  </si>
  <si>
    <t>Označení</t>
  </si>
  <si>
    <t>jmenovitý pr.</t>
  </si>
  <si>
    <t>povrch</t>
  </si>
  <si>
    <t>f yk</t>
  </si>
  <si>
    <t>f tk</t>
  </si>
  <si>
    <t>třída výztuže</t>
  </si>
  <si>
    <t>E</t>
  </si>
  <si>
    <t>5,5-32</t>
  </si>
  <si>
    <t>hladký</t>
  </si>
  <si>
    <t>H</t>
  </si>
  <si>
    <t>K</t>
  </si>
  <si>
    <t>10-32</t>
  </si>
  <si>
    <t>žebírkový</t>
  </si>
  <si>
    <t>EZ</t>
  </si>
  <si>
    <t>6,7,8-32</t>
  </si>
  <si>
    <t>V</t>
  </si>
  <si>
    <t>6,8-32</t>
  </si>
  <si>
    <t>R</t>
  </si>
  <si>
    <t>8-36</t>
  </si>
  <si>
    <t>KARI drát</t>
  </si>
  <si>
    <t>W</t>
  </si>
  <si>
    <t>4,5,6,7,8(10)</t>
  </si>
  <si>
    <t>KARI sítě</t>
  </si>
  <si>
    <t>SZ</t>
  </si>
  <si>
    <t>4,5,6,7,8</t>
  </si>
  <si>
    <t>&lt;0.003;0.08&gt;</t>
  </si>
  <si>
    <t>Bod grafu</t>
  </si>
  <si>
    <t>4'</t>
  </si>
  <si>
    <t>3'</t>
  </si>
  <si>
    <t>2'</t>
  </si>
  <si>
    <t>1'</t>
  </si>
  <si>
    <t>0'</t>
  </si>
  <si>
    <r>
      <t>g</t>
    </r>
    <r>
      <rPr>
        <sz val="10"/>
        <rFont val="Arial"/>
        <family val="2"/>
      </rPr>
      <t>c=</t>
    </r>
  </si>
  <si>
    <r>
      <t>g</t>
    </r>
    <r>
      <rPr>
        <sz val="10"/>
        <rFont val="Arial"/>
        <family val="2"/>
      </rPr>
      <t xml:space="preserve"> s=</t>
    </r>
  </si>
  <si>
    <r>
      <t>e</t>
    </r>
    <r>
      <rPr>
        <sz val="10"/>
        <rFont val="Arial"/>
        <family val="2"/>
      </rPr>
      <t xml:space="preserve"> yd=fyd/E</t>
    </r>
  </si>
  <si>
    <r>
      <t>fyd =fyk/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s</t>
    </r>
  </si>
  <si>
    <t>fyk=</t>
  </si>
  <si>
    <t>Rozměr prvku</t>
  </si>
  <si>
    <t>Vyztužení</t>
  </si>
  <si>
    <t>As1=</t>
  </si>
  <si>
    <t>As2=</t>
  </si>
  <si>
    <t>mm2</t>
  </si>
  <si>
    <t>průměry výztuže</t>
  </si>
  <si>
    <t>obvod průřezu</t>
  </si>
  <si>
    <t>hmotnost 1m prutu</t>
  </si>
  <si>
    <t>průměr prutu</t>
  </si>
  <si>
    <t>kg/m</t>
  </si>
  <si>
    <t>Počet prutů</t>
  </si>
  <si>
    <t>As[mm2]</t>
  </si>
  <si>
    <t>As1</t>
  </si>
  <si>
    <t>As2</t>
  </si>
  <si>
    <t>Povrch</t>
  </si>
  <si>
    <t>průměry</t>
  </si>
  <si>
    <r>
      <t xml:space="preserve">f </t>
    </r>
    <r>
      <rPr>
        <sz val="10"/>
        <rFont val="Arial CE"/>
        <family val="2"/>
      </rPr>
      <t>[mm]</t>
    </r>
  </si>
  <si>
    <t>Počet</t>
  </si>
  <si>
    <r>
      <t>d1=c+</t>
    </r>
    <r>
      <rPr>
        <sz val="10"/>
        <rFont val="Symbol"/>
        <family val="1"/>
      </rPr>
      <t>f</t>
    </r>
    <r>
      <rPr>
        <sz val="10"/>
        <rFont val="Arial"/>
        <family val="2"/>
      </rPr>
      <t>/2</t>
    </r>
  </si>
  <si>
    <r>
      <t>d2=c+</t>
    </r>
    <r>
      <rPr>
        <sz val="10"/>
        <rFont val="Symbol"/>
        <family val="1"/>
      </rPr>
      <t>f</t>
    </r>
    <r>
      <rPr>
        <sz val="10"/>
        <rFont val="Arial"/>
        <family val="2"/>
      </rPr>
      <t>/2</t>
    </r>
  </si>
  <si>
    <t>Charakteristiky výztuže As1</t>
  </si>
  <si>
    <t>Charakteristiky výztuže As2</t>
  </si>
  <si>
    <r>
      <t>e</t>
    </r>
    <r>
      <rPr>
        <sz val="10"/>
        <rFont val="Arial"/>
        <family val="2"/>
      </rPr>
      <t xml:space="preserve"> cd=fcd/E</t>
    </r>
  </si>
  <si>
    <t>Schema</t>
  </si>
  <si>
    <t>D=</t>
  </si>
  <si>
    <t>x_1=</t>
  </si>
  <si>
    <t>x_2=</t>
  </si>
  <si>
    <t>x=</t>
  </si>
  <si>
    <r>
      <t>e</t>
    </r>
    <r>
      <rPr>
        <sz val="10"/>
        <rFont val="Arial"/>
        <family val="2"/>
      </rPr>
      <t xml:space="preserve"> s1=</t>
    </r>
  </si>
  <si>
    <r>
      <t>e</t>
    </r>
    <r>
      <rPr>
        <sz val="10"/>
        <rFont val="Arial"/>
        <family val="2"/>
      </rPr>
      <t xml:space="preserve"> s2=</t>
    </r>
  </si>
  <si>
    <r>
      <t>&lt;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yd2</t>
    </r>
  </si>
  <si>
    <r>
      <t>&gt;=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yd1</t>
    </r>
  </si>
  <si>
    <r>
      <t>&gt;=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yd2</t>
    </r>
  </si>
  <si>
    <t>&lt;Velikost tlačené oblasti x&gt;</t>
  </si>
  <si>
    <t>&lt;Vypočtené parametry prvku&gt;</t>
  </si>
  <si>
    <t>Splněny předpoklady číslo:</t>
  </si>
  <si>
    <t>[1]</t>
  </si>
  <si>
    <t>zc=</t>
  </si>
  <si>
    <t>zs=</t>
  </si>
  <si>
    <r>
      <t>s</t>
    </r>
    <r>
      <rPr>
        <sz val="10"/>
        <rFont val="Arial"/>
        <family val="2"/>
      </rPr>
      <t>s1=</t>
    </r>
  </si>
  <si>
    <r>
      <t>s</t>
    </r>
    <r>
      <rPr>
        <sz val="10"/>
        <rFont val="Arial"/>
        <family val="2"/>
      </rPr>
      <t>s2=</t>
    </r>
  </si>
  <si>
    <t>|Fs1|=</t>
  </si>
  <si>
    <t>|Fs2|=</t>
  </si>
  <si>
    <t>|Fc|=</t>
  </si>
  <si>
    <t>Mrd=</t>
  </si>
  <si>
    <t>KNm</t>
  </si>
  <si>
    <r>
      <t xml:space="preserve">1) předpoklad 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s1&gt;=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yd=&gt;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s1=fyd ;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s2&lt;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yd2=&gt;</t>
    </r>
    <r>
      <rPr>
        <sz val="10"/>
        <rFont val="Symbol"/>
        <family val="1"/>
      </rPr>
      <t>s</t>
    </r>
    <r>
      <rPr>
        <sz val="10"/>
        <rFont val="Arial"/>
        <family val="2"/>
      </rPr>
      <t>s2&lt;fyd2 ; As1 je plně využita,As2 není plně využita</t>
    </r>
  </si>
  <si>
    <r>
      <t xml:space="preserve">2) předpoklad 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s1&gt;=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yd=&gt;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s1=fyd ;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s2&gt;=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yd2=&gt;</t>
    </r>
    <r>
      <rPr>
        <sz val="10"/>
        <rFont val="Symbol"/>
        <family val="1"/>
      </rPr>
      <t>s</t>
    </r>
    <r>
      <rPr>
        <sz val="10"/>
        <rFont val="Arial"/>
        <family val="2"/>
      </rPr>
      <t>s2=fyd2 ; As1 i As2 plně využity</t>
    </r>
  </si>
  <si>
    <t>KN</t>
  </si>
  <si>
    <r>
      <t>a</t>
    </r>
    <r>
      <rPr>
        <sz val="10"/>
        <rFont val="Arial"/>
        <family val="2"/>
      </rPr>
      <t>=</t>
    </r>
  </si>
  <si>
    <r>
      <t xml:space="preserve">f </t>
    </r>
    <r>
      <rPr>
        <sz val="10"/>
        <rFont val="Arial CE"/>
        <family val="2"/>
      </rPr>
      <t>třmínku</t>
    </r>
  </si>
  <si>
    <r>
      <t>r</t>
    </r>
    <r>
      <rPr>
        <sz val="10"/>
        <rFont val="Arial CE"/>
        <family val="2"/>
      </rPr>
      <t>h=</t>
    </r>
  </si>
  <si>
    <t>[1]     &gt;</t>
  </si>
  <si>
    <t>[1]     &lt;</t>
  </si>
  <si>
    <r>
      <t>t</t>
    </r>
    <r>
      <rPr>
        <sz val="10"/>
        <rFont val="Arial"/>
        <family val="2"/>
      </rPr>
      <t xml:space="preserve"> rk=</t>
    </r>
  </si>
  <si>
    <r>
      <t>f cd=f ck/</t>
    </r>
    <r>
      <rPr>
        <sz val="10"/>
        <rFont val="Symbol"/>
        <family val="1"/>
      </rPr>
      <t>g</t>
    </r>
    <r>
      <rPr>
        <sz val="10"/>
        <rFont val="Arial"/>
        <family val="2"/>
      </rPr>
      <t>c</t>
    </r>
  </si>
  <si>
    <r>
      <t>c =c min+</t>
    </r>
    <r>
      <rPr>
        <sz val="10"/>
        <rFont val="Symbol"/>
        <family val="1"/>
      </rPr>
      <t>D</t>
    </r>
    <r>
      <rPr>
        <sz val="10"/>
        <rFont val="Arial CE"/>
        <family val="2"/>
      </rPr>
      <t>h</t>
    </r>
    <r>
      <rPr>
        <sz val="10"/>
        <rFont val="Symbol"/>
        <family val="1"/>
      </rPr>
      <t>+f</t>
    </r>
    <r>
      <rPr>
        <sz val="10"/>
        <rFont val="Arial CE"/>
        <family val="2"/>
      </rPr>
      <t>tř</t>
    </r>
  </si>
  <si>
    <t>ftk=</t>
  </si>
  <si>
    <t>Třmínky</t>
  </si>
  <si>
    <t>Aw</t>
  </si>
  <si>
    <t>fywk</t>
  </si>
  <si>
    <t>s</t>
  </si>
  <si>
    <t>ns</t>
  </si>
  <si>
    <t>fywd</t>
  </si>
  <si>
    <t>Asw</t>
  </si>
  <si>
    <t>Vswd</t>
  </si>
  <si>
    <t>bet.s podél.výst.</t>
  </si>
  <si>
    <t>smyk.diagonály</t>
  </si>
  <si>
    <t>&lt;smyková únosnost&gt;</t>
  </si>
  <si>
    <t>Vrd1=</t>
  </si>
  <si>
    <t>Vrd2=</t>
  </si>
  <si>
    <t>Vrd3=</t>
  </si>
  <si>
    <t>Doplňující parametry</t>
  </si>
  <si>
    <t xml:space="preserve">      &gt;</t>
  </si>
  <si>
    <t xml:space="preserve">        &gt;</t>
  </si>
  <si>
    <r>
      <t>b</t>
    </r>
    <r>
      <rPr>
        <sz val="10"/>
        <rFont val="Arial CE"/>
        <family val="2"/>
      </rPr>
      <t>=</t>
    </r>
  </si>
  <si>
    <r>
      <t>r</t>
    </r>
    <r>
      <rPr>
        <sz val="10"/>
        <rFont val="Arial"/>
        <family val="2"/>
      </rPr>
      <t>l=</t>
    </r>
  </si>
  <si>
    <r>
      <t>n</t>
    </r>
    <r>
      <rPr>
        <sz val="10"/>
        <rFont val="Arial"/>
        <family val="2"/>
      </rPr>
      <t>=</t>
    </r>
  </si>
  <si>
    <t xml:space="preserve">      &lt;</t>
  </si>
  <si>
    <r>
      <t>r</t>
    </r>
    <r>
      <rPr>
        <sz val="10"/>
        <rFont val="Arial"/>
        <family val="2"/>
      </rPr>
      <t>wmax=</t>
    </r>
  </si>
  <si>
    <r>
      <t>r</t>
    </r>
    <r>
      <rPr>
        <sz val="10"/>
        <rFont val="Arial"/>
        <family val="2"/>
      </rPr>
      <t>wmin=</t>
    </r>
  </si>
  <si>
    <t>&lt;0.0004;0.003&gt;</t>
  </si>
  <si>
    <t>Tlačená výztuž neovlivní smykovou únosnost</t>
  </si>
  <si>
    <t>As1,As2</t>
  </si>
  <si>
    <t>d'=h-d2</t>
  </si>
  <si>
    <t>Fs1=As1*fyd</t>
  </si>
  <si>
    <t>Fs2=As2*fyd</t>
  </si>
  <si>
    <r>
      <t>D</t>
    </r>
    <r>
      <rPr>
        <sz val="10"/>
        <rFont val="Arial CE"/>
        <family val="2"/>
      </rPr>
      <t>Fs=Fs2-Fs1</t>
    </r>
  </si>
  <si>
    <r>
      <t>s</t>
    </r>
    <r>
      <rPr>
        <sz val="10"/>
        <rFont val="Arial"/>
        <family val="2"/>
      </rPr>
      <t>s</t>
    </r>
  </si>
  <si>
    <r>
      <t>x</t>
    </r>
    <r>
      <rPr>
        <sz val="10"/>
        <rFont val="Arial"/>
        <family val="2"/>
      </rPr>
      <t xml:space="preserve"> lim</t>
    </r>
  </si>
  <si>
    <r>
      <t>x</t>
    </r>
    <r>
      <rPr>
        <sz val="10"/>
        <rFont val="Arial"/>
        <family val="2"/>
      </rPr>
      <t xml:space="preserve"> lim2</t>
    </r>
  </si>
  <si>
    <t>r</t>
  </si>
  <si>
    <t>z1</t>
  </si>
  <si>
    <t>z2</t>
  </si>
  <si>
    <t>zs</t>
  </si>
  <si>
    <t>Nrd[KN]</t>
  </si>
  <si>
    <t>Mrd[KNm]</t>
  </si>
  <si>
    <r>
      <t>x</t>
    </r>
    <r>
      <rPr>
        <sz val="10"/>
        <rFont val="Arial"/>
        <family val="2"/>
      </rPr>
      <t xml:space="preserve"> lim2*d2=</t>
    </r>
  </si>
  <si>
    <r>
      <t>d&gt;</t>
    </r>
    <r>
      <rPr>
        <sz val="10"/>
        <rFont val="Symbol"/>
        <family val="1"/>
      </rPr>
      <t>x</t>
    </r>
    <r>
      <rPr>
        <sz val="10"/>
        <rFont val="Arial"/>
        <family val="2"/>
      </rPr>
      <t>lim2*d2</t>
    </r>
  </si>
  <si>
    <r>
      <t>x</t>
    </r>
    <r>
      <rPr>
        <sz val="10"/>
        <rFont val="Arial"/>
        <family val="2"/>
      </rPr>
      <t xml:space="preserve"> lim*d=</t>
    </r>
  </si>
  <si>
    <r>
      <t>x</t>
    </r>
    <r>
      <rPr>
        <sz val="10"/>
        <rFont val="Arial"/>
        <family val="2"/>
      </rPr>
      <t xml:space="preserve"> lim*d'=</t>
    </r>
  </si>
  <si>
    <r>
      <t>x</t>
    </r>
    <r>
      <rPr>
        <sz val="10"/>
        <rFont val="Arial"/>
        <family val="2"/>
      </rPr>
      <t xml:space="preserve"> lim2*d1=</t>
    </r>
  </si>
  <si>
    <r>
      <t>x</t>
    </r>
    <r>
      <rPr>
        <sz val="10"/>
        <rFont val="Arial"/>
        <family val="2"/>
      </rPr>
      <t>lim*d&gt;=</t>
    </r>
    <r>
      <rPr>
        <sz val="10"/>
        <rFont val="Symbol"/>
        <family val="1"/>
      </rPr>
      <t>x</t>
    </r>
    <r>
      <rPr>
        <sz val="10"/>
        <rFont val="Arial"/>
        <family val="2"/>
      </rPr>
      <t>lim2*d2</t>
    </r>
  </si>
  <si>
    <r>
      <t>x</t>
    </r>
    <r>
      <rPr>
        <sz val="10"/>
        <rFont val="Arial"/>
        <family val="2"/>
      </rPr>
      <t>lim*d'&gt;=</t>
    </r>
    <r>
      <rPr>
        <sz val="10"/>
        <rFont val="Symbol"/>
        <family val="1"/>
      </rPr>
      <t>x</t>
    </r>
    <r>
      <rPr>
        <sz val="10"/>
        <rFont val="Arial"/>
        <family val="2"/>
      </rPr>
      <t>lim2*d1</t>
    </r>
  </si>
  <si>
    <r>
      <t>c =cmin+</t>
    </r>
    <r>
      <rPr>
        <sz val="10"/>
        <rFont val="Symbol"/>
        <family val="1"/>
      </rPr>
      <t>D</t>
    </r>
    <r>
      <rPr>
        <sz val="10"/>
        <rFont val="Arial CE"/>
        <family val="2"/>
      </rPr>
      <t>h</t>
    </r>
    <r>
      <rPr>
        <sz val="10"/>
        <rFont val="Symbol"/>
        <family val="1"/>
      </rPr>
      <t>+f</t>
    </r>
    <r>
      <rPr>
        <sz val="10"/>
        <rFont val="Arial CE"/>
        <family val="2"/>
      </rPr>
      <t>tř</t>
    </r>
  </si>
  <si>
    <r>
      <t xml:space="preserve">3) předpoklad 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s1&lt;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yd=&gt;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s1&lt;fyd ;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s2&gt;=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yd2=&gt;</t>
    </r>
    <r>
      <rPr>
        <sz val="10"/>
        <rFont val="Symbol"/>
        <family val="1"/>
      </rPr>
      <t>s</t>
    </r>
    <r>
      <rPr>
        <sz val="10"/>
        <rFont val="Arial"/>
        <family val="2"/>
      </rPr>
      <t>s2=fyd2 ; As2 je plně využita,As1 není plně využita</t>
    </r>
  </si>
  <si>
    <r>
      <t>&lt;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yd1</t>
    </r>
  </si>
  <si>
    <r>
      <t xml:space="preserve">4) předpoklad 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s1&lt;</t>
    </r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yd=&gt;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s1&lt;fyd ;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s2&lt;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yd2=&gt;</t>
    </r>
    <r>
      <rPr>
        <sz val="10"/>
        <rFont val="Symbol"/>
        <family val="1"/>
      </rPr>
      <t>s</t>
    </r>
    <r>
      <rPr>
        <sz val="10"/>
        <rFont val="Arial"/>
        <family val="2"/>
      </rPr>
      <t>s2&lt;fyd2 ; As1 není plně využita,As2 není plně využita</t>
    </r>
  </si>
  <si>
    <t>&lt;= M-posouzení</t>
  </si>
  <si>
    <t>Vypočtené parametry</t>
  </si>
  <si>
    <t>f bd=</t>
  </si>
  <si>
    <t>l b=</t>
  </si>
  <si>
    <t>&lt;---Základní kotevní délka</t>
  </si>
  <si>
    <t>f ctk0.05=</t>
  </si>
  <si>
    <t>Vswd=</t>
  </si>
  <si>
    <t>Vrd3=Vswd+Vrd1</t>
  </si>
  <si>
    <t>xi=</t>
  </si>
  <si>
    <r>
      <t>a</t>
    </r>
    <r>
      <rPr>
        <sz val="10"/>
        <rFont val="Arial CE"/>
        <family val="2"/>
      </rPr>
      <t>e</t>
    </r>
    <r>
      <rPr>
        <sz val="10"/>
        <rFont val="Arial"/>
        <family val="2"/>
      </rPr>
      <t>=</t>
    </r>
  </si>
  <si>
    <t>Ec,eff=</t>
  </si>
  <si>
    <t>xir=</t>
  </si>
  <si>
    <t>xir1=</t>
  </si>
  <si>
    <t>xir2=</t>
  </si>
  <si>
    <t>Dílec bez trhlin:</t>
  </si>
  <si>
    <t>Dílec s trhlinami:</t>
  </si>
  <si>
    <t>Iir=</t>
  </si>
  <si>
    <t>mm4</t>
  </si>
  <si>
    <t>Ii=</t>
  </si>
  <si>
    <t>Ai=</t>
  </si>
  <si>
    <t>C1,st=</t>
  </si>
  <si>
    <t>C2,st=</t>
  </si>
  <si>
    <t>N-1mm-2</t>
  </si>
  <si>
    <t>Poloha Neutr.osy</t>
  </si>
  <si>
    <t>Poddajnost</t>
  </si>
  <si>
    <t>E1,st=</t>
  </si>
  <si>
    <t>E2,st=</t>
  </si>
  <si>
    <t>Nmm2</t>
  </si>
  <si>
    <t>Tuhost</t>
  </si>
  <si>
    <t>Moment setrvačnosti</t>
  </si>
  <si>
    <t>Mcr,st=</t>
  </si>
  <si>
    <r>
      <t>j</t>
    </r>
    <r>
      <rPr>
        <sz val="10"/>
        <rFont val="Arial CE"/>
        <family val="2"/>
      </rPr>
      <t>=</t>
    </r>
  </si>
  <si>
    <t>1)Krátkodobé působení zatížení</t>
  </si>
  <si>
    <t>2)Dlouhodobé působení zatížení</t>
  </si>
  <si>
    <t>3)Zatížení od smršťování</t>
  </si>
  <si>
    <t>E1,lt=</t>
  </si>
  <si>
    <t>C1,lt=</t>
  </si>
  <si>
    <t>Mcr,lt=</t>
  </si>
  <si>
    <t>E2,lt=</t>
  </si>
  <si>
    <t>C2,lt=</t>
  </si>
  <si>
    <t>Moment vzniku trhlin</t>
  </si>
  <si>
    <t>Číslo desky</t>
  </si>
  <si>
    <t>Msd</t>
  </si>
  <si>
    <t>[KNm]</t>
  </si>
  <si>
    <t>h</t>
  </si>
  <si>
    <t>[m]</t>
  </si>
  <si>
    <t>b</t>
  </si>
  <si>
    <t>d=h-d1</t>
  </si>
  <si>
    <t>z=0.9*d</t>
  </si>
  <si>
    <t>[mm2]</t>
  </si>
  <si>
    <t>Asd=Msd/(z*fyd)</t>
  </si>
  <si>
    <t>Posudek desky:</t>
  </si>
  <si>
    <t>Návrh desky:</t>
  </si>
  <si>
    <r>
      <t xml:space="preserve">f </t>
    </r>
    <r>
      <rPr>
        <sz val="10"/>
        <rFont val="Arial CE"/>
        <family val="2"/>
      </rPr>
      <t>prutů</t>
    </r>
  </si>
  <si>
    <t>[mm]</t>
  </si>
  <si>
    <r>
      <t>As=n*</t>
    </r>
    <r>
      <rPr>
        <sz val="10"/>
        <rFont val="Symbol"/>
        <family val="1"/>
      </rPr>
      <t>p</t>
    </r>
    <r>
      <rPr>
        <sz val="10"/>
        <rFont val="Arial"/>
        <family val="2"/>
      </rPr>
      <t>*</t>
    </r>
    <r>
      <rPr>
        <sz val="10"/>
        <rFont val="Symbol"/>
        <family val="1"/>
      </rPr>
      <t>f</t>
    </r>
    <r>
      <rPr>
        <sz val="10"/>
        <rFont val="Arial"/>
        <family val="2"/>
      </rPr>
      <t>^2/4</t>
    </r>
  </si>
  <si>
    <t>n počet prutů</t>
  </si>
  <si>
    <t>x tl.oblast</t>
  </si>
  <si>
    <r>
      <t>x</t>
    </r>
    <r>
      <rPr>
        <sz val="10"/>
        <rFont val="Arial"/>
        <family val="2"/>
      </rPr>
      <t>=x/d</t>
    </r>
  </si>
  <si>
    <t>z=d-0.4*x</t>
  </si>
  <si>
    <t>Mrd=As*fyd*z</t>
  </si>
  <si>
    <t>Mrd&gt;=Msd</t>
  </si>
  <si>
    <r>
      <t>r</t>
    </r>
    <r>
      <rPr>
        <sz val="10"/>
        <rFont val="Arial CE"/>
        <family val="2"/>
      </rPr>
      <t>=As/(b*h)</t>
    </r>
  </si>
  <si>
    <t>Konstrukční zásady</t>
  </si>
  <si>
    <r>
      <t>r</t>
    </r>
    <r>
      <rPr>
        <b/>
        <sz val="10"/>
        <rFont val="Arial CE"/>
        <family val="0"/>
      </rPr>
      <t xml:space="preserve"> &lt;=</t>
    </r>
    <r>
      <rPr>
        <b/>
        <sz val="10"/>
        <rFont val="Symbol"/>
        <family val="1"/>
      </rPr>
      <t>r</t>
    </r>
    <r>
      <rPr>
        <b/>
        <sz val="10"/>
        <rFont val="Arial CE"/>
        <family val="0"/>
      </rPr>
      <t xml:space="preserve"> max</t>
    </r>
  </si>
  <si>
    <t>Přetvoření</t>
  </si>
  <si>
    <t>Kotvení</t>
  </si>
  <si>
    <t>Knihovna</t>
  </si>
  <si>
    <t>M-Desky</t>
  </si>
  <si>
    <t>M-posouzení</t>
  </si>
  <si>
    <t>V-posouzení</t>
  </si>
  <si>
    <t>Kapitoly:</t>
  </si>
  <si>
    <t>Popis:</t>
  </si>
  <si>
    <t>M,N-Inter.diagram</t>
  </si>
  <si>
    <t>Charakteristiky výztuže As</t>
  </si>
  <si>
    <r>
      <t>d1=c+</t>
    </r>
    <r>
      <rPr>
        <sz val="10"/>
        <rFont val="Symbol"/>
        <family val="1"/>
      </rPr>
      <t>f</t>
    </r>
    <r>
      <rPr>
        <sz val="10"/>
        <rFont val="Arial"/>
        <family val="2"/>
      </rPr>
      <t>pr/2</t>
    </r>
  </si>
  <si>
    <r>
      <t>d2=c+</t>
    </r>
    <r>
      <rPr>
        <sz val="10"/>
        <rFont val="Symbol"/>
        <family val="1"/>
      </rPr>
      <t>f</t>
    </r>
    <r>
      <rPr>
        <sz val="10"/>
        <rFont val="Arial"/>
        <family val="2"/>
      </rPr>
      <t>pr/2</t>
    </r>
  </si>
  <si>
    <t>os.vzd.prutů</t>
  </si>
  <si>
    <r>
      <t>r</t>
    </r>
    <r>
      <rPr>
        <sz val="10"/>
        <rFont val="Arial"/>
        <family val="2"/>
      </rPr>
      <t xml:space="preserve"> min =0.0015</t>
    </r>
  </si>
  <si>
    <r>
      <t>r</t>
    </r>
    <r>
      <rPr>
        <sz val="10"/>
        <rFont val="Arial"/>
        <family val="2"/>
      </rPr>
      <t xml:space="preserve"> max =0.04</t>
    </r>
  </si>
  <si>
    <r>
      <t xml:space="preserve">r </t>
    </r>
    <r>
      <rPr>
        <b/>
        <sz val="10"/>
        <rFont val="Arial CE"/>
        <family val="0"/>
      </rPr>
      <t>&gt;=</t>
    </r>
    <r>
      <rPr>
        <b/>
        <sz val="10"/>
        <rFont val="Symbol"/>
        <family val="1"/>
      </rPr>
      <t xml:space="preserve">r </t>
    </r>
    <r>
      <rPr>
        <b/>
        <sz val="10"/>
        <rFont val="Arial CE"/>
        <family val="0"/>
      </rPr>
      <t>min</t>
    </r>
  </si>
  <si>
    <r>
      <t>r</t>
    </r>
    <r>
      <rPr>
        <sz val="10"/>
        <rFont val="Arial"/>
        <family val="2"/>
      </rPr>
      <t xml:space="preserve"> min= 0.6/fyk</t>
    </r>
  </si>
  <si>
    <r>
      <t xml:space="preserve">Mezní přetvoření </t>
    </r>
    <r>
      <rPr>
        <sz val="10"/>
        <rFont val="Symbol"/>
        <family val="1"/>
      </rPr>
      <t>e</t>
    </r>
    <r>
      <rPr>
        <sz val="10"/>
        <rFont val="Arial Narrow CE"/>
        <family val="2"/>
      </rPr>
      <t xml:space="preserve"> cu</t>
    </r>
  </si>
  <si>
    <r>
      <t>t</t>
    </r>
    <r>
      <rPr>
        <sz val="10"/>
        <rFont val="Arial Narrow CE"/>
        <family val="2"/>
      </rPr>
      <t xml:space="preserve"> rk</t>
    </r>
  </si>
  <si>
    <r>
      <t xml:space="preserve">e </t>
    </r>
    <r>
      <rPr>
        <sz val="10"/>
        <rFont val="Arial"/>
        <family val="2"/>
      </rPr>
      <t>cs,inf=</t>
    </r>
  </si>
  <si>
    <t>Msd=</t>
  </si>
  <si>
    <t>Msd / Mrd=</t>
  </si>
  <si>
    <t>Parametry průřezu</t>
  </si>
  <si>
    <t>Ac=</t>
  </si>
  <si>
    <t>m2</t>
  </si>
  <si>
    <t>Sc0=</t>
  </si>
  <si>
    <t>m3</t>
  </si>
  <si>
    <t>Ic0=</t>
  </si>
  <si>
    <t>m4</t>
  </si>
  <si>
    <t>Ss0=</t>
  </si>
  <si>
    <t>Is0=</t>
  </si>
  <si>
    <t>&lt;---Požadovaná kotevní délka</t>
  </si>
  <si>
    <r>
      <t>l b,net=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>a*l b*As,req/As.prov &gt;= l b,min</t>
    </r>
  </si>
  <si>
    <t>a gs=</t>
  </si>
  <si>
    <t>Poloha těžiště id.průřezu</t>
  </si>
  <si>
    <t>a gi=</t>
  </si>
  <si>
    <t>l=</t>
  </si>
  <si>
    <t>Zatížení</t>
  </si>
  <si>
    <t>Msgk=</t>
  </si>
  <si>
    <t xml:space="preserve">  -- kvazist.komb.zatížení (dlouhodobé)</t>
  </si>
  <si>
    <t xml:space="preserve">  -- rozpon nosníku</t>
  </si>
  <si>
    <r>
      <t>b</t>
    </r>
    <r>
      <rPr>
        <sz val="10"/>
        <rFont val="Arial"/>
        <family val="2"/>
      </rPr>
      <t>1=</t>
    </r>
  </si>
  <si>
    <t>Křivost</t>
  </si>
  <si>
    <t>(1/r)cr,st=</t>
  </si>
  <si>
    <t>m-1</t>
  </si>
  <si>
    <t>(1/r)g,st=</t>
  </si>
  <si>
    <t>(1/r)cr,lt=</t>
  </si>
  <si>
    <t>(1/r)g,lt=</t>
  </si>
  <si>
    <t>(1/r)cr,cs=</t>
  </si>
  <si>
    <t>(1/r)cs=</t>
  </si>
  <si>
    <t>Výpočet průhybu</t>
  </si>
  <si>
    <t>f g,lt=</t>
  </si>
  <si>
    <t xml:space="preserve">  -- od dlouhodobého zatížení</t>
  </si>
  <si>
    <t>f cs=</t>
  </si>
  <si>
    <t xml:space="preserve">  -- od smršťování</t>
  </si>
  <si>
    <t>CELKEM</t>
  </si>
  <si>
    <t>f lt=</t>
  </si>
  <si>
    <t>&lt;=</t>
  </si>
  <si>
    <t>1/250*L=</t>
  </si>
  <si>
    <t>Výpočet šířky trhlin</t>
  </si>
  <si>
    <r>
      <t>s</t>
    </r>
    <r>
      <rPr>
        <sz val="10"/>
        <rFont val="Arial"/>
        <family val="2"/>
      </rPr>
      <t xml:space="preserve"> s,cr=</t>
    </r>
  </si>
  <si>
    <t>E s=</t>
  </si>
  <si>
    <r>
      <t>s</t>
    </r>
    <r>
      <rPr>
        <sz val="10"/>
        <rFont val="Arial"/>
        <family val="2"/>
      </rPr>
      <t xml:space="preserve"> s=</t>
    </r>
  </si>
  <si>
    <r>
      <t>e</t>
    </r>
    <r>
      <rPr>
        <b/>
        <sz val="10"/>
        <rFont val="Arial CE"/>
        <family val="0"/>
      </rPr>
      <t xml:space="preserve"> sm=</t>
    </r>
  </si>
  <si>
    <t>k1=</t>
  </si>
  <si>
    <r>
      <t>r</t>
    </r>
    <r>
      <rPr>
        <sz val="10"/>
        <rFont val="Arial"/>
        <family val="2"/>
      </rPr>
      <t xml:space="preserve"> r=</t>
    </r>
  </si>
  <si>
    <t>A c,eff=</t>
  </si>
  <si>
    <t>k2=</t>
  </si>
  <si>
    <t>s rm=</t>
  </si>
  <si>
    <t xml:space="preserve"> --vzd.trhlin</t>
  </si>
  <si>
    <r>
      <t>b</t>
    </r>
    <r>
      <rPr>
        <sz val="10"/>
        <rFont val="Arial"/>
        <family val="2"/>
      </rPr>
      <t xml:space="preserve"> =</t>
    </r>
  </si>
  <si>
    <t>w k=</t>
  </si>
  <si>
    <t>w lim=</t>
  </si>
  <si>
    <r>
      <t>fyd =fyk/</t>
    </r>
    <r>
      <rPr>
        <sz val="10"/>
        <color indexed="22"/>
        <rFont val="Symbol"/>
        <family val="1"/>
      </rPr>
      <t>g</t>
    </r>
    <r>
      <rPr>
        <sz val="10"/>
        <color indexed="22"/>
        <rFont val="Arial CE"/>
        <family val="0"/>
      </rPr>
      <t xml:space="preserve"> s</t>
    </r>
  </si>
  <si>
    <r>
      <t>e</t>
    </r>
    <r>
      <rPr>
        <sz val="10"/>
        <color indexed="22"/>
        <rFont val="Arial CE"/>
        <family val="0"/>
      </rPr>
      <t xml:space="preserve"> yd=fyd/E</t>
    </r>
  </si>
  <si>
    <r>
      <t>z</t>
    </r>
    <r>
      <rPr>
        <sz val="10"/>
        <rFont val="Arial CE"/>
        <family val="2"/>
      </rPr>
      <t>g,lt=</t>
    </r>
  </si>
  <si>
    <r>
      <t xml:space="preserve">f </t>
    </r>
    <r>
      <rPr>
        <sz val="10"/>
        <rFont val="Arial CE"/>
        <family val="2"/>
      </rPr>
      <t>=</t>
    </r>
  </si>
  <si>
    <t xml:space="preserve"> --průměrné přetvoření As1</t>
  </si>
  <si>
    <t>posouzení ohýbaného obdélníkového prvku na Moment</t>
  </si>
  <si>
    <t>posouzení tlačeného obdélníkového prvku na Moment a Normálovou sílu, interakční diagram</t>
  </si>
  <si>
    <t>posouzení ohýbaného obdélníkového prvku na Posouvající sílu</t>
  </si>
  <si>
    <t>osouzení II.mezního stavu - výpočet průhybu, šířky trhlin</t>
  </si>
  <si>
    <t>návrh a posouzení ohýbaných desek na Moment hromadně</t>
  </si>
  <si>
    <t>výpočet kotevní délky</t>
  </si>
  <si>
    <t>knihovna parametrů betonu a výstuže</t>
  </si>
  <si>
    <r>
      <t>x</t>
    </r>
    <r>
      <rPr>
        <b/>
        <sz val="10"/>
        <rFont val="Arial CE"/>
        <family val="0"/>
      </rPr>
      <t>=x/d=</t>
    </r>
  </si>
  <si>
    <r>
      <t>r</t>
    </r>
    <r>
      <rPr>
        <b/>
        <sz val="10"/>
        <rFont val="Arial CE"/>
        <family val="2"/>
      </rPr>
      <t>=</t>
    </r>
  </si>
  <si>
    <t>Vrd=</t>
  </si>
  <si>
    <t>Vsd=</t>
  </si>
  <si>
    <t>Vsd / Vrd=</t>
  </si>
  <si>
    <r>
      <t xml:space="preserve">f </t>
    </r>
    <r>
      <rPr>
        <sz val="10"/>
        <rFont val="Arial CE"/>
        <family val="2"/>
      </rPr>
      <t>třmínku =</t>
    </r>
  </si>
  <si>
    <r>
      <t xml:space="preserve">f </t>
    </r>
    <r>
      <rPr>
        <sz val="10"/>
        <rFont val="Arial CE"/>
        <family val="2"/>
      </rPr>
      <t>prutu =</t>
    </r>
  </si>
  <si>
    <r>
      <t>D</t>
    </r>
    <r>
      <rPr>
        <sz val="10"/>
        <rFont val="Arial"/>
        <family val="2"/>
      </rPr>
      <t>h =</t>
    </r>
  </si>
  <si>
    <t>ČSN P ENV 1992 (NAD-ČR), prostý nosník, jen tažená výstuž As1</t>
  </si>
  <si>
    <r>
      <t>r</t>
    </r>
    <r>
      <rPr>
        <b/>
        <sz val="10"/>
        <rFont val="Arial CE"/>
        <family val="0"/>
      </rPr>
      <t>w=</t>
    </r>
  </si>
  <si>
    <r>
      <t>b</t>
    </r>
    <r>
      <rPr>
        <sz val="10"/>
        <color indexed="22"/>
        <rFont val="Arial CE"/>
        <family val="0"/>
      </rPr>
      <t>1=</t>
    </r>
  </si>
  <si>
    <r>
      <t>j</t>
    </r>
    <r>
      <rPr>
        <sz val="10"/>
        <color indexed="22"/>
        <rFont val="Arial CE"/>
        <family val="2"/>
      </rPr>
      <t>=</t>
    </r>
  </si>
  <si>
    <r>
      <t>a</t>
    </r>
    <r>
      <rPr>
        <sz val="10"/>
        <color indexed="22"/>
        <rFont val="Arial CE"/>
        <family val="2"/>
      </rPr>
      <t>e</t>
    </r>
    <r>
      <rPr>
        <sz val="10"/>
        <color indexed="22"/>
        <rFont val="Arial CE"/>
        <family val="0"/>
      </rPr>
      <t>=</t>
    </r>
  </si>
  <si>
    <r>
      <t>z</t>
    </r>
    <r>
      <rPr>
        <sz val="10"/>
        <color indexed="22"/>
        <rFont val="Arial CE"/>
        <family val="2"/>
      </rPr>
      <t>g,st=</t>
    </r>
  </si>
  <si>
    <t xml:space="preserve"> takto označené buňky se zadávají, jen tyto lze měnit!</t>
  </si>
  <si>
    <t>Ing. Jan Hlaváček</t>
  </si>
  <si>
    <t>ČSN  P ENV 1992 (NAD-ČR)</t>
  </si>
  <si>
    <t>Musí být splněny podmínky 'dobré soudržnosti'</t>
  </si>
  <si>
    <t>ČSN  P ENV 1992 (NAD-ČR); lineární prac.diagram ocele, rovnoměrně rozložené napětí betonu</t>
  </si>
  <si>
    <r>
      <t xml:space="preserve">Standardní metoda; z=0.9d; tlačené diagonály 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=45°; svislé třmínky </t>
    </r>
    <r>
      <rPr>
        <sz val="10"/>
        <rFont val="Symbol"/>
        <family val="1"/>
      </rPr>
      <t>a</t>
    </r>
    <r>
      <rPr>
        <sz val="10"/>
        <rFont val="Arial"/>
        <family val="2"/>
      </rPr>
      <t>=90°</t>
    </r>
  </si>
  <si>
    <r>
      <t>s</t>
    </r>
    <r>
      <rPr>
        <sz val="10"/>
        <rFont val="Arial"/>
        <family val="2"/>
      </rPr>
      <t>s=fyd; jen tažená výztuž As1; lineární prac.diagram ocele; rovnoměrně rozložené napětí beton</t>
    </r>
  </si>
  <si>
    <t>Jakékoliv úpravy či kopírování sešitu nebo jeho obsahu a komerční využití jsou nepřípustné.</t>
  </si>
  <si>
    <t>Prvek č.:</t>
  </si>
  <si>
    <t>???</t>
  </si>
  <si>
    <t>vlastnosti betonu 'c'</t>
  </si>
  <si>
    <t>vlastnosti výztuže 's'</t>
  </si>
  <si>
    <t>E s</t>
  </si>
  <si>
    <t>Zpracováno dle publikace nakladatelství Procon: J.Procházka, Betonové konstrukce - příklady navrhování dle EuroCode2.</t>
  </si>
  <si>
    <t>+420- 606 491 454</t>
  </si>
  <si>
    <t>http://www.pro-eng.com/</t>
  </si>
  <si>
    <t>verze 59.cz (07/2005)</t>
  </si>
  <si>
    <t>POZOR, TENTO VYPOCET JE NEKOMPLETNI !</t>
  </si>
  <si>
    <t>Betonové konstrukce dle ČSN P ENV 1992-1-1 (Eurocode 2)</t>
  </si>
  <si>
    <t>Výpis výztuže</t>
  </si>
  <si>
    <t xml:space="preserve">označení </t>
  </si>
  <si>
    <t>č.</t>
  </si>
  <si>
    <t>f</t>
  </si>
  <si>
    <t xml:space="preserve">délka </t>
  </si>
  <si>
    <t>rozteč</t>
  </si>
  <si>
    <t xml:space="preserve">počet ks </t>
  </si>
  <si>
    <t>délka celkem [m]</t>
  </si>
  <si>
    <t>prvku</t>
  </si>
  <si>
    <t>v prvku</t>
  </si>
  <si>
    <t>celkem</t>
  </si>
  <si>
    <t>D1</t>
  </si>
  <si>
    <t xml:space="preserve">kg </t>
  </si>
  <si>
    <t>kg</t>
  </si>
  <si>
    <r>
      <t xml:space="preserve">počet </t>
    </r>
    <r>
      <rPr>
        <i/>
        <sz val="10"/>
        <rFont val="Symbol"/>
        <family val="1"/>
      </rPr>
      <t xml:space="preserve">f </t>
    </r>
  </si>
  <si>
    <t>tabulka výztuže do výkresu</t>
  </si>
  <si>
    <r>
      <t>ă</t>
    </r>
    <r>
      <rPr>
        <b/>
        <sz val="10"/>
        <rFont val="Arial CE"/>
        <family val="0"/>
      </rPr>
      <t xml:space="preserve"> Jan Hlaváček 1998-2006</t>
    </r>
  </si>
  <si>
    <t>jhlavacek@pro-eng.com</t>
  </si>
  <si>
    <t>(c) Jan Hlaváček 1998-2006</t>
  </si>
  <si>
    <t>Autor nenese zodpovědnost za případné škody vzniklé použitím sešitu.</t>
  </si>
  <si>
    <t>Praha - Czech Republic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</si>
</sst>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0000"/>
    <numFmt numFmtId="174" formatCode="0.0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E+00"/>
    <numFmt numFmtId="185" formatCode="0.000E+00"/>
    <numFmt numFmtId="186" formatCode="0.0E+00"/>
    <numFmt numFmtId="187" formatCode="0E+00"/>
    <numFmt numFmtId="188" formatCode="0.00000E+00"/>
    <numFmt numFmtId="189" formatCode="0.000000E+00"/>
    <numFmt numFmtId="190" formatCode="0.0000000E+00"/>
    <numFmt numFmtId="191" formatCode="0.00000000E+00"/>
    <numFmt numFmtId="192" formatCode="0.000000000E+00"/>
    <numFmt numFmtId="193" formatCode="_-* #,##0.000\ _K_č_-;\-* #,##0.000\ _K_č_-;_-* &quot;-&quot;??\ _K_č_-;_-@_-"/>
    <numFmt numFmtId="194" formatCode="_-* #,##0.0000\ _K_č_-;\-* #,##0.0000\ _K_č_-;_-* &quot;-&quot;??\ _K_č_-;_-@_-"/>
    <numFmt numFmtId="195" formatCode="_-* #,##0.00000\ _K_č_-;\-* #,##0.00000\ _K_č_-;_-* &quot;-&quot;??\ _K_č_-;_-@_-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000\ 00"/>
    <numFmt numFmtId="203" formatCode="d/mmmm\ yyyy"/>
    <numFmt numFmtId="204" formatCode="d/m/yy"/>
  </numFmts>
  <fonts count="41"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Arial Narrow CE"/>
      <family val="2"/>
    </font>
    <font>
      <i/>
      <u val="single"/>
      <sz val="10"/>
      <name val="Arial CE"/>
      <family val="2"/>
    </font>
    <font>
      <sz val="10"/>
      <color indexed="10"/>
      <name val="Arial CE"/>
      <family val="2"/>
    </font>
    <font>
      <sz val="10"/>
      <name val="Symbol"/>
      <family val="1"/>
    </font>
    <font>
      <sz val="9"/>
      <name val="Tahoma"/>
      <family val="2"/>
    </font>
    <font>
      <sz val="10"/>
      <name val="Tahoma"/>
      <family val="2"/>
    </font>
    <font>
      <b/>
      <sz val="12"/>
      <color indexed="10"/>
      <name val="Arial CE"/>
      <family val="2"/>
    </font>
    <font>
      <b/>
      <sz val="10.5"/>
      <name val="Arial CE"/>
      <family val="2"/>
    </font>
    <font>
      <sz val="15.75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.25"/>
      <name val="Arial CE"/>
      <family val="2"/>
    </font>
    <font>
      <sz val="8"/>
      <name val="Arial CE"/>
      <family val="2"/>
    </font>
    <font>
      <b/>
      <sz val="10"/>
      <name val="Symbol"/>
      <family val="1"/>
    </font>
    <font>
      <i/>
      <sz val="8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2"/>
    </font>
    <font>
      <sz val="10"/>
      <color indexed="22"/>
      <name val="Arial CE"/>
      <family val="2"/>
    </font>
    <font>
      <i/>
      <u val="single"/>
      <sz val="10"/>
      <color indexed="22"/>
      <name val="Arial CE"/>
      <family val="2"/>
    </font>
    <font>
      <sz val="10"/>
      <color indexed="22"/>
      <name val="Symbol"/>
      <family val="1"/>
    </font>
    <font>
      <sz val="8"/>
      <name val="Tahoma"/>
      <family val="0"/>
    </font>
    <font>
      <u val="single"/>
      <sz val="8"/>
      <color indexed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i/>
      <sz val="10"/>
      <color indexed="22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double"/>
      <sz val="10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 CE"/>
      <family val="0"/>
    </font>
    <font>
      <b/>
      <sz val="14"/>
      <color indexed="21"/>
      <name val="Arial CE"/>
      <family val="2"/>
    </font>
    <font>
      <b/>
      <i/>
      <u val="single"/>
      <sz val="10"/>
      <name val="Arial"/>
      <family val="2"/>
    </font>
    <font>
      <i/>
      <sz val="10"/>
      <name val="Symbol"/>
      <family val="1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thin">
        <color indexed="22"/>
      </diagonal>
    </border>
    <border diagonalUp="1">
      <left style="thin"/>
      <right>
        <color indexed="63"/>
      </right>
      <top style="thin"/>
      <bottom>
        <color indexed="63"/>
      </bottom>
      <diagonal style="thin">
        <color indexed="22"/>
      </diagonal>
    </border>
    <border diagonalUp="1">
      <left>
        <color indexed="63"/>
      </left>
      <right>
        <color indexed="63"/>
      </right>
      <top style="thin"/>
      <bottom>
        <color indexed="63"/>
      </bottom>
      <diagonal style="thin">
        <color indexed="22"/>
      </diagonal>
    </border>
    <border diagonalUp="1">
      <left>
        <color indexed="63"/>
      </left>
      <right style="thin"/>
      <top style="thin"/>
      <bottom>
        <color indexed="63"/>
      </bottom>
      <diagonal style="thin">
        <color indexed="22"/>
      </diagonal>
    </border>
    <border diagonalUp="1">
      <left style="thin"/>
      <right>
        <color indexed="63"/>
      </right>
      <top>
        <color indexed="63"/>
      </top>
      <bottom style="thin"/>
      <diagonal style="thin">
        <color indexed="22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thin">
        <color indexed="22"/>
      </diagonal>
    </border>
    <border diagonalUp="1">
      <left>
        <color indexed="63"/>
      </left>
      <right style="thin"/>
      <top>
        <color indexed="63"/>
      </top>
      <bottom style="thin"/>
      <diagonal style="thin">
        <color indexed="22"/>
      </diagonal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14" fillId="2" borderId="0" xfId="2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6" fillId="0" borderId="4" xfId="0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8" fillId="0" borderId="6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7" xfId="0" applyFont="1" applyFill="1" applyBorder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72" fontId="21" fillId="0" borderId="0" xfId="0" applyNumberFormat="1" applyFont="1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6" xfId="0" applyBorder="1" applyAlignment="1" applyProtection="1">
      <alignment wrapText="1"/>
      <protection hidden="1"/>
    </xf>
    <xf numFmtId="0" fontId="20" fillId="0" borderId="0" xfId="0" applyNumberFormat="1" applyFont="1" applyAlignment="1" applyProtection="1">
      <alignment/>
      <protection hidden="1"/>
    </xf>
    <xf numFmtId="175" fontId="29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18" fillId="0" borderId="6" xfId="0" applyFont="1" applyBorder="1" applyAlignment="1" applyProtection="1">
      <alignment/>
      <protection hidden="1"/>
    </xf>
    <xf numFmtId="174" fontId="1" fillId="0" borderId="0" xfId="0" applyNumberFormat="1" applyFont="1" applyBorder="1" applyAlignment="1" applyProtection="1">
      <alignment/>
      <protection hidden="1"/>
    </xf>
    <xf numFmtId="174" fontId="29" fillId="0" borderId="0" xfId="0" applyNumberFormat="1" applyFont="1" applyBorder="1" applyAlignment="1" applyProtection="1">
      <alignment/>
      <protection hidden="1"/>
    </xf>
    <xf numFmtId="174" fontId="0" fillId="0" borderId="0" xfId="0" applyNumberForma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2" fontId="11" fillId="0" borderId="12" xfId="0" applyNumberFormat="1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9" fontId="0" fillId="0" borderId="1" xfId="0" applyNumberFormat="1" applyBorder="1" applyAlignment="1" applyProtection="1">
      <alignment/>
      <protection hidden="1"/>
    </xf>
    <xf numFmtId="204" fontId="0" fillId="0" borderId="0" xfId="0" applyNumberFormat="1" applyAlignment="1" applyProtection="1">
      <alignment horizontal="right"/>
      <protection hidden="1"/>
    </xf>
    <xf numFmtId="0" fontId="14" fillId="0" borderId="0" xfId="20" applyAlignment="1" applyProtection="1">
      <alignment/>
      <protection hidden="1"/>
    </xf>
    <xf numFmtId="0" fontId="22" fillId="0" borderId="0" xfId="2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2" xfId="0" applyNumberFormat="1" applyBorder="1" applyAlignment="1" applyProtection="1">
      <alignment/>
      <protection hidden="1"/>
    </xf>
    <xf numFmtId="0" fontId="27" fillId="0" borderId="0" xfId="20" applyFont="1" applyBorder="1" applyAlignment="1" applyProtection="1">
      <alignment/>
      <protection hidden="1"/>
    </xf>
    <xf numFmtId="0" fontId="0" fillId="0" borderId="6" xfId="0" applyBorder="1" applyAlignment="1" applyProtection="1">
      <alignment horizontal="right"/>
      <protection hidden="1"/>
    </xf>
    <xf numFmtId="0" fontId="14" fillId="0" borderId="0" xfId="20" applyBorder="1" applyAlignment="1" applyProtection="1">
      <alignment/>
      <protection hidden="1"/>
    </xf>
    <xf numFmtId="204" fontId="0" fillId="0" borderId="0" xfId="0" applyNumberFormat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4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0" fillId="3" borderId="14" xfId="0" applyFill="1" applyBorder="1" applyAlignment="1" applyProtection="1">
      <alignment vertical="top" wrapText="1"/>
      <protection hidden="1"/>
    </xf>
    <xf numFmtId="0" fontId="0" fillId="3" borderId="15" xfId="0" applyFill="1" applyBorder="1" applyAlignment="1" applyProtection="1">
      <alignment vertical="top" wrapText="1"/>
      <protection hidden="1"/>
    </xf>
    <xf numFmtId="0" fontId="0" fillId="3" borderId="5" xfId="0" applyFill="1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8" fillId="3" borderId="14" xfId="0" applyFont="1" applyFill="1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1" fillId="0" borderId="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3" borderId="2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175" fontId="0" fillId="0" borderId="26" xfId="0" applyNumberForma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2" fontId="0" fillId="0" borderId="6" xfId="0" applyNumberFormat="1" applyBorder="1" applyAlignment="1" applyProtection="1">
      <alignment/>
      <protection hidden="1"/>
    </xf>
    <xf numFmtId="2" fontId="0" fillId="0" borderId="7" xfId="0" applyNumberFormat="1" applyBorder="1" applyAlignment="1" applyProtection="1">
      <alignment/>
      <protection hidden="1"/>
    </xf>
    <xf numFmtId="0" fontId="23" fillId="0" borderId="28" xfId="0" applyFont="1" applyBorder="1" applyAlignment="1" applyProtection="1">
      <alignment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30" xfId="0" applyFont="1" applyBorder="1" applyAlignment="1" applyProtection="1">
      <alignment/>
      <protection hidden="1"/>
    </xf>
    <xf numFmtId="0" fontId="24" fillId="0" borderId="31" xfId="0" applyFont="1" applyFill="1" applyBorder="1" applyAlignment="1" applyProtection="1">
      <alignment/>
      <protection hidden="1"/>
    </xf>
    <xf numFmtId="0" fontId="24" fillId="0" borderId="32" xfId="0" applyFont="1" applyFill="1" applyBorder="1" applyAlignment="1" applyProtection="1">
      <alignment/>
      <protection hidden="1"/>
    </xf>
    <xf numFmtId="0" fontId="24" fillId="0" borderId="33" xfId="0" applyFont="1" applyFill="1" applyBorder="1" applyAlignment="1" applyProtection="1">
      <alignment/>
      <protection hidden="1"/>
    </xf>
    <xf numFmtId="0" fontId="23" fillId="0" borderId="28" xfId="0" applyFont="1" applyFill="1" applyBorder="1" applyAlignment="1" applyProtection="1">
      <alignment/>
      <protection hidden="1"/>
    </xf>
    <xf numFmtId="0" fontId="23" fillId="0" borderId="29" xfId="0" applyFont="1" applyFill="1" applyBorder="1" applyAlignment="1" applyProtection="1">
      <alignment/>
      <protection hidden="1"/>
    </xf>
    <xf numFmtId="0" fontId="23" fillId="0" borderId="30" xfId="0" applyFont="1" applyFill="1" applyBorder="1" applyAlignment="1" applyProtection="1">
      <alignment/>
      <protection hidden="1"/>
    </xf>
    <xf numFmtId="0" fontId="23" fillId="0" borderId="28" xfId="0" applyFont="1" applyBorder="1" applyAlignment="1" applyProtection="1">
      <alignment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30" xfId="0" applyFont="1" applyBorder="1" applyAlignment="1" applyProtection="1">
      <alignment/>
      <protection hidden="1"/>
    </xf>
    <xf numFmtId="0" fontId="25" fillId="0" borderId="28" xfId="0" applyFont="1" applyFill="1" applyBorder="1" applyAlignment="1" applyProtection="1">
      <alignment/>
      <protection hidden="1"/>
    </xf>
    <xf numFmtId="0" fontId="23" fillId="0" borderId="29" xfId="0" applyFont="1" applyFill="1" applyBorder="1" applyAlignment="1" applyProtection="1">
      <alignment/>
      <protection hidden="1"/>
    </xf>
    <xf numFmtId="0" fontId="23" fillId="0" borderId="30" xfId="0" applyFont="1" applyFill="1" applyBorder="1" applyAlignment="1" applyProtection="1">
      <alignment/>
      <protection hidden="1"/>
    </xf>
    <xf numFmtId="173" fontId="23" fillId="0" borderId="29" xfId="0" applyNumberFormat="1" applyFont="1" applyFill="1" applyBorder="1" applyAlignment="1" applyProtection="1">
      <alignment/>
      <protection hidden="1"/>
    </xf>
    <xf numFmtId="0" fontId="23" fillId="0" borderId="34" xfId="0" applyFont="1" applyFill="1" applyBorder="1" applyAlignment="1" applyProtection="1">
      <alignment/>
      <protection hidden="1"/>
    </xf>
    <xf numFmtId="0" fontId="23" fillId="0" borderId="35" xfId="0" applyFont="1" applyFill="1" applyBorder="1" applyAlignment="1" applyProtection="1">
      <alignment/>
      <protection hidden="1"/>
    </xf>
    <xf numFmtId="0" fontId="23" fillId="0" borderId="36" xfId="0" applyFont="1" applyFill="1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24" fillId="0" borderId="31" xfId="0" applyFont="1" applyBorder="1" applyAlignment="1" applyProtection="1">
      <alignment/>
      <protection hidden="1"/>
    </xf>
    <xf numFmtId="0" fontId="23" fillId="0" borderId="32" xfId="0" applyFont="1" applyBorder="1" applyAlignment="1" applyProtection="1">
      <alignment/>
      <protection hidden="1"/>
    </xf>
    <xf numFmtId="0" fontId="25" fillId="0" borderId="32" xfId="0" applyFont="1" applyBorder="1" applyAlignment="1" applyProtection="1">
      <alignment/>
      <protection hidden="1"/>
    </xf>
    <xf numFmtId="175" fontId="23" fillId="0" borderId="33" xfId="0" applyNumberFormat="1" applyFont="1" applyBorder="1" applyAlignment="1" applyProtection="1">
      <alignment/>
      <protection hidden="1"/>
    </xf>
    <xf numFmtId="0" fontId="25" fillId="0" borderId="28" xfId="0" applyFont="1" applyBorder="1" applyAlignment="1" applyProtection="1">
      <alignment/>
      <protection hidden="1"/>
    </xf>
    <xf numFmtId="0" fontId="25" fillId="0" borderId="29" xfId="0" applyFont="1" applyFill="1" applyBorder="1" applyAlignment="1" applyProtection="1">
      <alignment/>
      <protection hidden="1"/>
    </xf>
    <xf numFmtId="2" fontId="23" fillId="0" borderId="29" xfId="0" applyNumberFormat="1" applyFont="1" applyBorder="1" applyAlignment="1" applyProtection="1">
      <alignment/>
      <protection hidden="1"/>
    </xf>
    <xf numFmtId="0" fontId="25" fillId="0" borderId="29" xfId="0" applyFont="1" applyBorder="1" applyAlignment="1" applyProtection="1">
      <alignment/>
      <protection hidden="1"/>
    </xf>
    <xf numFmtId="175" fontId="23" fillId="0" borderId="30" xfId="0" applyNumberFormat="1" applyFont="1" applyBorder="1" applyAlignment="1" applyProtection="1">
      <alignment/>
      <protection hidden="1"/>
    </xf>
    <xf numFmtId="0" fontId="23" fillId="0" borderId="35" xfId="0" applyFont="1" applyBorder="1" applyAlignment="1" applyProtection="1">
      <alignment/>
      <protection hidden="1"/>
    </xf>
    <xf numFmtId="0" fontId="30" fillId="0" borderId="35" xfId="0" applyFont="1" applyBorder="1" applyAlignment="1" applyProtection="1">
      <alignment horizontal="center"/>
      <protection hidden="1"/>
    </xf>
    <xf numFmtId="0" fontId="23" fillId="0" borderId="36" xfId="0" applyFont="1" applyBorder="1" applyAlignment="1" applyProtection="1">
      <alignment/>
      <protection hidden="1"/>
    </xf>
    <xf numFmtId="2" fontId="23" fillId="0" borderId="29" xfId="0" applyNumberFormat="1" applyFont="1" applyBorder="1" applyAlignment="1" applyProtection="1">
      <alignment/>
      <protection hidden="1"/>
    </xf>
    <xf numFmtId="11" fontId="23" fillId="0" borderId="29" xfId="0" applyNumberFormat="1" applyFont="1" applyBorder="1" applyAlignment="1" applyProtection="1">
      <alignment/>
      <protection hidden="1"/>
    </xf>
    <xf numFmtId="0" fontId="23" fillId="0" borderId="34" xfId="0" applyFont="1" applyBorder="1" applyAlignment="1" applyProtection="1">
      <alignment/>
      <protection hidden="1"/>
    </xf>
    <xf numFmtId="11" fontId="23" fillId="0" borderId="35" xfId="0" applyNumberFormat="1" applyFont="1" applyBorder="1" applyAlignment="1" applyProtection="1">
      <alignment/>
      <protection hidden="1"/>
    </xf>
    <xf numFmtId="175" fontId="0" fillId="0" borderId="7" xfId="0" applyNumberForma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1" fontId="0" fillId="0" borderId="0" xfId="0" applyNumberFormat="1" applyBorder="1" applyAlignment="1" applyProtection="1">
      <alignment/>
      <protection hidden="1"/>
    </xf>
    <xf numFmtId="11" fontId="0" fillId="0" borderId="1" xfId="0" applyNumberForma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175" fontId="0" fillId="0" borderId="4" xfId="0" applyNumberFormat="1" applyBorder="1" applyAlignment="1" applyProtection="1">
      <alignment/>
      <protection hidden="1"/>
    </xf>
    <xf numFmtId="11" fontId="0" fillId="0" borderId="4" xfId="0" applyNumberFormat="1" applyBorder="1" applyAlignment="1" applyProtection="1">
      <alignment/>
      <protection hidden="1"/>
    </xf>
    <xf numFmtId="0" fontId="4" fillId="0" borderId="37" xfId="0" applyFont="1" applyBorder="1" applyAlignment="1" applyProtection="1">
      <alignment/>
      <protection hidden="1"/>
    </xf>
    <xf numFmtId="175" fontId="0" fillId="0" borderId="0" xfId="0" applyNumberFormat="1" applyBorder="1" applyAlignment="1" applyProtection="1">
      <alignment/>
      <protection hidden="1"/>
    </xf>
    <xf numFmtId="0" fontId="4" fillId="0" borderId="8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5" fontId="21" fillId="0" borderId="12" xfId="0" applyNumberFormat="1" applyFont="1" applyBorder="1" applyAlignment="1" applyProtection="1">
      <alignment/>
      <protection hidden="1"/>
    </xf>
    <xf numFmtId="0" fontId="21" fillId="0" borderId="13" xfId="0" applyFont="1" applyBorder="1" applyAlignment="1" applyProtection="1">
      <alignment/>
      <protection hidden="1"/>
    </xf>
    <xf numFmtId="11" fontId="1" fillId="0" borderId="1" xfId="0" applyNumberFormat="1" applyFont="1" applyBorder="1" applyAlignment="1" applyProtection="1">
      <alignment horizontal="center"/>
      <protection hidden="1"/>
    </xf>
    <xf numFmtId="11" fontId="4" fillId="0" borderId="1" xfId="0" applyNumberFormat="1" applyFont="1" applyBorder="1" applyAlignment="1" applyProtection="1">
      <alignment/>
      <protection hidden="1"/>
    </xf>
    <xf numFmtId="0" fontId="21" fillId="0" borderId="1" xfId="0" applyFont="1" applyBorder="1" applyAlignment="1" applyProtection="1">
      <alignment/>
      <protection hidden="1"/>
    </xf>
    <xf numFmtId="0" fontId="21" fillId="0" borderId="9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8" fillId="0" borderId="8" xfId="0" applyFont="1" applyBorder="1" applyAlignment="1" applyProtection="1">
      <alignment/>
      <protection hidden="1"/>
    </xf>
    <xf numFmtId="2" fontId="21" fillId="0" borderId="12" xfId="0" applyNumberFormat="1" applyFont="1" applyBorder="1" applyAlignment="1" applyProtection="1">
      <alignment/>
      <protection hidden="1"/>
    </xf>
    <xf numFmtId="2" fontId="21" fillId="0" borderId="9" xfId="0" applyNumberFormat="1" applyFont="1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8" fillId="0" borderId="8" xfId="0" applyFont="1" applyFill="1" applyBorder="1" applyAlignment="1" applyProtection="1">
      <alignment/>
      <protection hidden="1"/>
    </xf>
    <xf numFmtId="173" fontId="0" fillId="0" borderId="1" xfId="0" applyNumberFormat="1" applyFill="1" applyBorder="1" applyAlignment="1" applyProtection="1">
      <alignment/>
      <protection hidden="1"/>
    </xf>
    <xf numFmtId="0" fontId="11" fillId="0" borderId="38" xfId="0" applyFont="1" applyBorder="1" applyAlignment="1" applyProtection="1">
      <alignment/>
      <protection hidden="1"/>
    </xf>
    <xf numFmtId="175" fontId="11" fillId="0" borderId="12" xfId="0" applyNumberFormat="1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Continuous"/>
      <protection hidden="1"/>
    </xf>
    <xf numFmtId="0" fontId="5" fillId="0" borderId="41" xfId="0" applyFont="1" applyBorder="1" applyAlignment="1" applyProtection="1">
      <alignment horizontal="centerContinuous"/>
      <protection hidden="1"/>
    </xf>
    <xf numFmtId="0" fontId="5" fillId="0" borderId="42" xfId="0" applyFont="1" applyBorder="1" applyAlignment="1" applyProtection="1">
      <alignment horizontal="centerContinuous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40" xfId="0" applyFont="1" applyBorder="1" applyAlignment="1" applyProtection="1">
      <alignment/>
      <protection hidden="1"/>
    </xf>
    <xf numFmtId="0" fontId="5" fillId="0" borderId="41" xfId="0" applyFont="1" applyBorder="1" applyAlignment="1" applyProtection="1">
      <alignment/>
      <protection hidden="1"/>
    </xf>
    <xf numFmtId="16" fontId="8" fillId="0" borderId="1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" fontId="5" fillId="0" borderId="44" xfId="0" applyNumberFormat="1" applyFont="1" applyBorder="1" applyAlignment="1" applyProtection="1">
      <alignment horizontal="center"/>
      <protection hidden="1"/>
    </xf>
    <xf numFmtId="16" fontId="5" fillId="0" borderId="46" xfId="0" applyNumberFormat="1" applyFont="1" applyBorder="1" applyAlignment="1" applyProtection="1">
      <alignment horizontal="center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3" fontId="21" fillId="0" borderId="48" xfId="0" applyNumberFormat="1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21" fillId="0" borderId="48" xfId="0" applyFont="1" applyBorder="1" applyAlignment="1" applyProtection="1">
      <alignment/>
      <protection hidden="1"/>
    </xf>
    <xf numFmtId="2" fontId="0" fillId="0" borderId="49" xfId="0" applyNumberFormat="1" applyBorder="1" applyAlignment="1" applyProtection="1">
      <alignment/>
      <protection hidden="1"/>
    </xf>
    <xf numFmtId="0" fontId="1" fillId="0" borderId="48" xfId="0" applyFont="1" applyBorder="1" applyAlignment="1" applyProtection="1">
      <alignment/>
      <protection hidden="1"/>
    </xf>
    <xf numFmtId="0" fontId="1" fillId="0" borderId="51" xfId="0" applyFont="1" applyBorder="1" applyAlignment="1" applyProtection="1">
      <alignment/>
      <protection hidden="1"/>
    </xf>
    <xf numFmtId="2" fontId="0" fillId="0" borderId="53" xfId="0" applyNumberFormat="1" applyBorder="1" applyAlignment="1" applyProtection="1">
      <alignment/>
      <protection hidden="1"/>
    </xf>
    <xf numFmtId="2" fontId="0" fillId="0" borderId="52" xfId="0" applyNumberFormat="1" applyBorder="1" applyAlignment="1" applyProtection="1">
      <alignment/>
      <protection hidden="1"/>
    </xf>
    <xf numFmtId="0" fontId="22" fillId="0" borderId="0" xfId="20" applyFont="1" applyAlignment="1" applyProtection="1">
      <alignment horizontal="center"/>
      <protection hidden="1"/>
    </xf>
    <xf numFmtId="0" fontId="0" fillId="0" borderId="54" xfId="0" applyFill="1" applyBorder="1" applyAlignment="1" applyProtection="1">
      <alignment/>
      <protection hidden="1" locked="0"/>
    </xf>
    <xf numFmtId="0" fontId="0" fillId="0" borderId="54" xfId="0" applyBorder="1" applyAlignment="1" applyProtection="1">
      <alignment/>
      <protection hidden="1" locked="0"/>
    </xf>
    <xf numFmtId="0" fontId="0" fillId="0" borderId="2" xfId="0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2" fontId="0" fillId="0" borderId="2" xfId="0" applyNumberForma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0" fillId="0" borderId="46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18" fillId="0" borderId="16" xfId="0" applyFont="1" applyBorder="1" applyAlignment="1" applyProtection="1">
      <alignment vertical="top"/>
      <protection hidden="1"/>
    </xf>
    <xf numFmtId="0" fontId="18" fillId="0" borderId="23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2" fontId="1" fillId="0" borderId="54" xfId="0" applyNumberFormat="1" applyFont="1" applyBorder="1" applyAlignment="1" applyProtection="1">
      <alignment/>
      <protection hidden="1" locked="0"/>
    </xf>
    <xf numFmtId="0" fontId="32" fillId="0" borderId="4" xfId="0" applyFont="1" applyBorder="1" applyAlignment="1" applyProtection="1">
      <alignment horizontal="right"/>
      <protection hidden="1"/>
    </xf>
    <xf numFmtId="0" fontId="33" fillId="2" borderId="5" xfId="0" applyFont="1" applyFill="1" applyBorder="1" applyAlignment="1" applyProtection="1">
      <alignment horizontal="left"/>
      <protection hidden="1"/>
    </xf>
    <xf numFmtId="0" fontId="31" fillId="0" borderId="17" xfId="0" applyFont="1" applyBorder="1" applyAlignment="1" applyProtection="1">
      <alignment/>
      <protection hidden="1" locked="0"/>
    </xf>
    <xf numFmtId="0" fontId="31" fillId="0" borderId="6" xfId="0" applyFont="1" applyBorder="1" applyAlignment="1" applyProtection="1">
      <alignment/>
      <protection hidden="1" locked="0"/>
    </xf>
    <xf numFmtId="2" fontId="31" fillId="0" borderId="18" xfId="0" applyNumberFormat="1" applyFont="1" applyBorder="1" applyAlignment="1" applyProtection="1">
      <alignment/>
      <protection hidden="1"/>
    </xf>
    <xf numFmtId="2" fontId="31" fillId="0" borderId="43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45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56" xfId="0" applyFont="1" applyBorder="1" applyAlignment="1" applyProtection="1">
      <alignment/>
      <protection hidden="1" locked="0"/>
    </xf>
    <xf numFmtId="0" fontId="34" fillId="0" borderId="57" xfId="0" applyFont="1" applyBorder="1" applyAlignment="1" applyProtection="1">
      <alignment/>
      <protection hidden="1" locked="0"/>
    </xf>
    <xf numFmtId="0" fontId="34" fillId="0" borderId="58" xfId="0" applyFont="1" applyBorder="1" applyAlignment="1" applyProtection="1">
      <alignment/>
      <protection hidden="1" locked="0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 quotePrefix="1">
      <alignment horizontal="center"/>
      <protection hidden="1"/>
    </xf>
    <xf numFmtId="0" fontId="0" fillId="0" borderId="53" xfId="0" applyNumberForma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 quotePrefix="1">
      <alignment horizontal="center"/>
      <protection hidden="1"/>
    </xf>
    <xf numFmtId="0" fontId="35" fillId="0" borderId="0" xfId="2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9" fontId="6" fillId="0" borderId="3" xfId="22" applyFont="1" applyFill="1" applyBorder="1" applyAlignment="1" applyProtection="1">
      <alignment/>
      <protection hidden="1"/>
    </xf>
    <xf numFmtId="0" fontId="37" fillId="0" borderId="0" xfId="21" applyFont="1">
      <alignment/>
      <protection/>
    </xf>
    <xf numFmtId="0" fontId="0" fillId="0" borderId="0" xfId="21">
      <alignment/>
      <protection/>
    </xf>
    <xf numFmtId="0" fontId="32" fillId="0" borderId="16" xfId="21" applyFont="1" applyBorder="1" applyAlignment="1">
      <alignment horizontal="center"/>
      <protection/>
    </xf>
    <xf numFmtId="0" fontId="38" fillId="0" borderId="16" xfId="21" applyFont="1" applyBorder="1" applyAlignment="1">
      <alignment horizontal="center"/>
      <protection/>
    </xf>
    <xf numFmtId="0" fontId="32" fillId="0" borderId="59" xfId="21" applyFont="1" applyBorder="1" applyAlignment="1">
      <alignment horizontal="centerContinuous"/>
      <protection/>
    </xf>
    <xf numFmtId="0" fontId="32" fillId="0" borderId="60" xfId="21" applyFont="1" applyBorder="1" applyAlignment="1">
      <alignment horizontal="centerContinuous"/>
      <protection/>
    </xf>
    <xf numFmtId="0" fontId="32" fillId="0" borderId="10" xfId="21" applyFont="1" applyBorder="1" applyAlignment="1">
      <alignment horizontal="center"/>
      <protection/>
    </xf>
    <xf numFmtId="3" fontId="32" fillId="0" borderId="59" xfId="21" applyNumberFormat="1" applyFont="1" applyBorder="1" applyAlignment="1">
      <alignment horizontal="centerContinuous"/>
      <protection/>
    </xf>
    <xf numFmtId="0" fontId="32" fillId="0" borderId="55" xfId="21" applyFont="1" applyBorder="1" applyAlignment="1">
      <alignment horizontal="center"/>
      <protection/>
    </xf>
    <xf numFmtId="0" fontId="32" fillId="0" borderId="2" xfId="21" applyFont="1" applyBorder="1" applyAlignment="1">
      <alignment horizontal="center"/>
      <protection/>
    </xf>
    <xf numFmtId="0" fontId="0" fillId="0" borderId="16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10" xfId="21" applyFont="1" applyBorder="1" applyAlignment="1">
      <alignment horizontal="center"/>
      <protection/>
    </xf>
    <xf numFmtId="0" fontId="39" fillId="0" borderId="10" xfId="21" applyFont="1" applyBorder="1" applyAlignment="1">
      <alignment horizontal="center"/>
      <protection/>
    </xf>
    <xf numFmtId="0" fontId="0" fillId="0" borderId="10" xfId="21" applyFont="1" applyBorder="1">
      <alignment/>
      <protection/>
    </xf>
    <xf numFmtId="0" fontId="0" fillId="0" borderId="55" xfId="21" applyFont="1" applyBorder="1">
      <alignment/>
      <protection/>
    </xf>
    <xf numFmtId="0" fontId="31" fillId="0" borderId="2" xfId="21" applyFont="1" applyBorder="1">
      <alignment/>
      <protection/>
    </xf>
    <xf numFmtId="0" fontId="31" fillId="0" borderId="59" xfId="21" applyFont="1" applyBorder="1">
      <alignment/>
      <protection/>
    </xf>
    <xf numFmtId="0" fontId="0" fillId="0" borderId="61" xfId="21" applyFont="1" applyBorder="1">
      <alignment/>
      <protection/>
    </xf>
    <xf numFmtId="0" fontId="0" fillId="0" borderId="60" xfId="21" applyFont="1" applyBorder="1">
      <alignment/>
      <protection/>
    </xf>
    <xf numFmtId="0" fontId="14" fillId="2" borderId="0" xfId="20" applyFill="1" applyAlignment="1" applyProtection="1">
      <alignment/>
      <protection hidden="1"/>
    </xf>
    <xf numFmtId="0" fontId="14" fillId="0" borderId="0" xfId="2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32" fillId="0" borderId="3" xfId="21" applyFont="1" applyBorder="1" applyAlignment="1">
      <alignment horizontal="center" vertical="center"/>
      <protection/>
    </xf>
    <xf numFmtId="0" fontId="32" fillId="0" borderId="4" xfId="21" applyFont="1" applyBorder="1" applyAlignment="1">
      <alignment horizontal="center" vertical="center"/>
      <protection/>
    </xf>
    <xf numFmtId="0" fontId="32" fillId="0" borderId="5" xfId="21" applyFont="1" applyBorder="1" applyAlignment="1">
      <alignment horizontal="center" vertical="center"/>
      <protection/>
    </xf>
    <xf numFmtId="0" fontId="32" fillId="0" borderId="6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32" fillId="0" borderId="7" xfId="21" applyFont="1" applyBorder="1" applyAlignment="1">
      <alignment horizontal="center" vertical="center"/>
      <protection/>
    </xf>
    <xf numFmtId="0" fontId="32" fillId="0" borderId="8" xfId="21" applyFont="1" applyBorder="1" applyAlignment="1">
      <alignment horizontal="center" vertical="center"/>
      <protection/>
    </xf>
    <xf numFmtId="0" fontId="32" fillId="0" borderId="1" xfId="21" applyFont="1" applyBorder="1" applyAlignment="1">
      <alignment horizontal="center" vertical="center"/>
      <protection/>
    </xf>
    <xf numFmtId="0" fontId="32" fillId="0" borderId="9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ykaz_vyztuz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Interakční diagram</a:t>
            </a:r>
          </a:p>
        </c:rich>
      </c:tx>
      <c:layout>
        <c:manualLayout>
          <c:xMode val="factor"/>
          <c:yMode val="factor"/>
          <c:x val="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75"/>
          <c:w val="0.9855"/>
          <c:h val="0.85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'M,N-Inter.diagram'!$B$39:$B$49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'M,N-Inter.diagram'!$C$39:$C$49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1535941"/>
        <c:axId val="59605742"/>
      </c:scatterChart>
      <c:valAx>
        <c:axId val="215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Mrd[KNm]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8100">
            <a:solidFill/>
          </a:ln>
        </c:spPr>
        <c:crossAx val="59605742"/>
        <c:crosses val="autoZero"/>
        <c:crossBetween val="midCat"/>
        <c:dispUnits/>
      </c:valAx>
      <c:valAx>
        <c:axId val="5960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Nrd[KN]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15359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35</xdr:row>
      <xdr:rowOff>19050</xdr:rowOff>
    </xdr:from>
    <xdr:to>
      <xdr:col>10</xdr:col>
      <xdr:colOff>285750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048375"/>
          <a:ext cx="59531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14</xdr:row>
      <xdr:rowOff>9525</xdr:rowOff>
    </xdr:from>
    <xdr:to>
      <xdr:col>8</xdr:col>
      <xdr:colOff>371475</xdr:colOff>
      <xdr:row>27</xdr:row>
      <xdr:rowOff>123825</xdr:rowOff>
    </xdr:to>
    <xdr:pic>
      <xdr:nvPicPr>
        <xdr:cNvPr id="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305050"/>
          <a:ext cx="3724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57150</xdr:rowOff>
    </xdr:from>
    <xdr:to>
      <xdr:col>8</xdr:col>
      <xdr:colOff>495300</xdr:colOff>
      <xdr:row>84</xdr:row>
      <xdr:rowOff>19050</xdr:rowOff>
    </xdr:to>
    <xdr:graphicFrame>
      <xdr:nvGraphicFramePr>
        <xdr:cNvPr id="1" name="Chart 9"/>
        <xdr:cNvGraphicFramePr/>
      </xdr:nvGraphicFramePr>
      <xdr:xfrm>
        <a:off x="76200" y="8829675"/>
        <a:ext cx="6591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419100</xdr:colOff>
      <xdr:row>13</xdr:row>
      <xdr:rowOff>142875</xdr:rowOff>
    </xdr:from>
    <xdr:to>
      <xdr:col>8</xdr:col>
      <xdr:colOff>504825</xdr:colOff>
      <xdr:row>28</xdr:row>
      <xdr:rowOff>133350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276475"/>
          <a:ext cx="40671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14</xdr:row>
      <xdr:rowOff>47625</xdr:rowOff>
    </xdr:from>
    <xdr:to>
      <xdr:col>8</xdr:col>
      <xdr:colOff>571500</xdr:colOff>
      <xdr:row>28</xdr:row>
      <xdr:rowOff>95250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362200"/>
          <a:ext cx="3886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13</xdr:col>
      <xdr:colOff>409575</xdr:colOff>
      <xdr:row>9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2543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lavacek@pro-eng.com" TargetMode="External" /><Relationship Id="rId2" Type="http://schemas.openxmlformats.org/officeDocument/2006/relationships/hyperlink" Target="http://www.pro-eng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L58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16.421875" style="1" bestFit="1" customWidth="1"/>
    <col min="8" max="16384" width="9.140625" style="1" customWidth="1"/>
  </cols>
  <sheetData>
    <row r="1" ht="13.5" customHeight="1"/>
    <row r="2" ht="18" customHeight="1">
      <c r="G2" s="284" t="s">
        <v>374</v>
      </c>
    </row>
    <row r="3" ht="13.5" customHeight="1"/>
    <row r="4" ht="13.5" customHeight="1">
      <c r="G4" s="2" t="s">
        <v>357</v>
      </c>
    </row>
    <row r="5" ht="13.5" customHeight="1">
      <c r="G5" s="10" t="s">
        <v>395</v>
      </c>
    </row>
    <row r="6" ht="13.5" customHeight="1">
      <c r="G6" s="282" t="s">
        <v>370</v>
      </c>
    </row>
    <row r="7" ht="13.5" customHeight="1">
      <c r="G7" s="307" t="s">
        <v>392</v>
      </c>
    </row>
    <row r="8" ht="13.5" customHeight="1">
      <c r="G8" s="283" t="s">
        <v>371</v>
      </c>
    </row>
    <row r="9" spans="2:12" ht="13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3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3.5" customHeight="1">
      <c r="B11" s="4"/>
      <c r="C11" s="4"/>
      <c r="D11" s="5" t="s">
        <v>263</v>
      </c>
      <c r="E11" s="4"/>
      <c r="F11" s="5" t="s">
        <v>264</v>
      </c>
      <c r="G11" s="4"/>
      <c r="H11" s="4"/>
      <c r="I11" s="4"/>
      <c r="J11" s="4"/>
      <c r="K11" s="4"/>
      <c r="L11" s="4"/>
    </row>
    <row r="12" spans="2:12" ht="13.5" customHeight="1">
      <c r="B12" s="4"/>
      <c r="C12" s="4"/>
      <c r="D12" s="6" t="s">
        <v>261</v>
      </c>
      <c r="E12" s="4"/>
      <c r="F12" s="7" t="s">
        <v>335</v>
      </c>
      <c r="G12" s="4"/>
      <c r="H12" s="4"/>
      <c r="I12" s="4"/>
      <c r="J12" s="4"/>
      <c r="K12" s="4"/>
      <c r="L12" s="4"/>
    </row>
    <row r="13" spans="2:12" ht="13.5" customHeight="1">
      <c r="B13" s="4"/>
      <c r="C13" s="4"/>
      <c r="D13" s="6" t="s">
        <v>265</v>
      </c>
      <c r="E13" s="4"/>
      <c r="F13" s="7" t="s">
        <v>336</v>
      </c>
      <c r="G13" s="4"/>
      <c r="H13" s="4"/>
      <c r="I13" s="4"/>
      <c r="J13" s="4"/>
      <c r="K13" s="4"/>
      <c r="L13" s="4"/>
    </row>
    <row r="14" spans="2:12" ht="13.5" customHeight="1">
      <c r="B14" s="4"/>
      <c r="C14" s="4"/>
      <c r="D14" s="6" t="s">
        <v>262</v>
      </c>
      <c r="E14" s="4"/>
      <c r="F14" s="7" t="s">
        <v>337</v>
      </c>
      <c r="G14" s="4"/>
      <c r="H14" s="4"/>
      <c r="I14" s="4"/>
      <c r="J14" s="4"/>
      <c r="K14" s="4"/>
      <c r="L14" s="4"/>
    </row>
    <row r="15" spans="2:12" ht="13.5" customHeight="1">
      <c r="B15" s="4"/>
      <c r="C15" s="4"/>
      <c r="D15" s="6" t="s">
        <v>257</v>
      </c>
      <c r="E15" s="4"/>
      <c r="F15" s="7" t="s">
        <v>338</v>
      </c>
      <c r="G15" s="4"/>
      <c r="H15" s="4"/>
      <c r="I15" s="4"/>
      <c r="J15" s="4"/>
      <c r="K15" s="4"/>
      <c r="L15" s="4"/>
    </row>
    <row r="16" spans="2:12" ht="13.5" customHeight="1">
      <c r="B16" s="4"/>
      <c r="C16" s="4"/>
      <c r="D16" s="6" t="s">
        <v>260</v>
      </c>
      <c r="E16" s="4"/>
      <c r="F16" s="7" t="s">
        <v>339</v>
      </c>
      <c r="G16" s="4"/>
      <c r="H16" s="4"/>
      <c r="I16" s="4"/>
      <c r="J16" s="4"/>
      <c r="K16" s="4"/>
      <c r="L16" s="4"/>
    </row>
    <row r="17" spans="2:12" ht="13.5" customHeight="1">
      <c r="B17" s="4"/>
      <c r="C17" s="4"/>
      <c r="D17" s="6" t="s">
        <v>258</v>
      </c>
      <c r="E17" s="4"/>
      <c r="F17" s="7" t="s">
        <v>340</v>
      </c>
      <c r="G17" s="4"/>
      <c r="H17" s="4"/>
      <c r="I17" s="4"/>
      <c r="J17" s="4"/>
      <c r="K17" s="4"/>
      <c r="L17" s="4"/>
    </row>
    <row r="18" spans="2:12" ht="13.5" customHeight="1">
      <c r="B18" s="4"/>
      <c r="C18" s="4"/>
      <c r="D18" s="6" t="s">
        <v>259</v>
      </c>
      <c r="E18" s="4"/>
      <c r="F18" s="7" t="s">
        <v>341</v>
      </c>
      <c r="G18" s="4"/>
      <c r="H18" s="4"/>
      <c r="I18" s="4"/>
      <c r="J18" s="4"/>
      <c r="K18" s="4"/>
      <c r="L18" s="4"/>
    </row>
    <row r="19" spans="2:12" ht="13.5" customHeight="1">
      <c r="B19" s="4"/>
      <c r="C19" s="4"/>
      <c r="D19" s="306" t="s">
        <v>375</v>
      </c>
      <c r="E19" s="4"/>
      <c r="F19" s="7" t="s">
        <v>390</v>
      </c>
      <c r="G19" s="4"/>
      <c r="H19" s="4"/>
      <c r="I19" s="4"/>
      <c r="J19" s="4"/>
      <c r="K19" s="4"/>
      <c r="L19" s="4"/>
    </row>
    <row r="20" spans="2:12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3:11" ht="13.5" customHeight="1">
      <c r="C21" s="9"/>
      <c r="D21" s="9"/>
      <c r="E21" s="9"/>
      <c r="F21" s="9"/>
      <c r="G21" s="9"/>
      <c r="H21" s="9"/>
      <c r="I21" s="9"/>
      <c r="J21" s="9"/>
      <c r="K21" s="9"/>
    </row>
    <row r="22" ht="13.5" customHeight="1">
      <c r="G22" s="10" t="s">
        <v>369</v>
      </c>
    </row>
    <row r="23" ht="13.5" customHeight="1">
      <c r="G23" s="281" t="s">
        <v>372</v>
      </c>
    </row>
    <row r="24" spans="2:12" ht="13.5" customHeight="1">
      <c r="B24" s="3"/>
      <c r="C24" s="3"/>
      <c r="D24" s="3"/>
      <c r="E24" s="3"/>
      <c r="F24" s="3"/>
      <c r="G24" s="13"/>
      <c r="H24" s="3"/>
      <c r="I24" s="3"/>
      <c r="J24" s="3"/>
      <c r="K24" s="3"/>
      <c r="L24" s="3"/>
    </row>
    <row r="25" spans="3:11" ht="13.5" customHeight="1">
      <c r="C25" s="9"/>
      <c r="D25" s="9"/>
      <c r="E25" s="9"/>
      <c r="F25" s="9"/>
      <c r="G25" s="12"/>
      <c r="H25" s="9"/>
      <c r="I25" s="9"/>
      <c r="J25" s="9"/>
      <c r="K25" s="9"/>
    </row>
    <row r="26" spans="4:6" ht="13.5" customHeight="1">
      <c r="D26" s="14"/>
      <c r="E26" s="4"/>
      <c r="F26" s="15" t="s">
        <v>356</v>
      </c>
    </row>
    <row r="27" spans="2:12" ht="13.5" customHeight="1">
      <c r="B27" s="3"/>
      <c r="C27" s="3"/>
      <c r="D27" s="16"/>
      <c r="E27" s="17"/>
      <c r="F27" s="3"/>
      <c r="G27" s="3"/>
      <c r="H27" s="3"/>
      <c r="I27" s="3"/>
      <c r="J27" s="3"/>
      <c r="K27" s="3"/>
      <c r="L27" s="3"/>
    </row>
    <row r="28" spans="3:11" ht="13.5" customHeight="1">
      <c r="C28" s="9"/>
      <c r="D28" s="18"/>
      <c r="E28" s="19"/>
      <c r="F28" s="9"/>
      <c r="G28" s="9"/>
      <c r="H28" s="9"/>
      <c r="I28" s="9"/>
      <c r="J28" s="9"/>
      <c r="K28" s="9"/>
    </row>
    <row r="29" ht="13.5" customHeight="1">
      <c r="G29" s="20" t="s">
        <v>363</v>
      </c>
    </row>
    <row r="30" ht="13.5" customHeight="1">
      <c r="G30" s="20" t="s">
        <v>394</v>
      </c>
    </row>
    <row r="31" ht="13.5" customHeight="1">
      <c r="G31" s="21" t="s">
        <v>391</v>
      </c>
    </row>
    <row r="32" spans="2:12" ht="13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hyperlinks>
    <hyperlink ref="G7" r:id="rId1" display="jhlavacek@pro-eng.com"/>
    <hyperlink ref="D12" location="'M-posouzení'!A1" display="'M-posouzení'!A1"/>
    <hyperlink ref="D13" location="'M,N-Inter.diagram'!A1" display="'M,N-Inter.diagram'!A1"/>
    <hyperlink ref="D14" location="'V-posouzení'!A1" display="'V-posouzení'!A1"/>
    <hyperlink ref="D15" location="Přetvoření!A1" display="Přetvoření!A1"/>
    <hyperlink ref="D16" location="'M-Desky'!A1" display="'M-Desky'!A1"/>
    <hyperlink ref="D17" location="Kotvení!A1" display="Kotvení!A1"/>
    <hyperlink ref="D18" location="Knihovna!A1" display="Knihovna!A1"/>
    <hyperlink ref="G8" r:id="rId2" display="http://www.pro-eng.com/"/>
    <hyperlink ref="D19" location="'Výpis výztuže'!A1" display="Výpis výztuže"/>
  </hyperlinks>
  <printOptions horizontalCentered="1"/>
  <pageMargins left="0.78740157480315" right="0.78740157480315" top="0.984251968503937" bottom="0.984251968503937" header="0.511811023622047" footer="0.511811023622047"/>
  <pageSetup fitToHeight="1" fitToWidth="1" horizontalDpi="240" verticalDpi="24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J77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14.57421875" style="1" customWidth="1"/>
    <col min="2" max="2" width="8.7109375" style="1" customWidth="1"/>
    <col min="3" max="3" width="9.421875" style="1" customWidth="1"/>
    <col min="4" max="4" width="10.7109375" style="1" customWidth="1"/>
    <col min="5" max="5" width="11.00390625" style="1" customWidth="1"/>
    <col min="6" max="6" width="11.140625" style="1" customWidth="1"/>
    <col min="7" max="7" width="11.28125" style="1" customWidth="1"/>
    <col min="8" max="8" width="12.7109375" style="1" customWidth="1"/>
    <col min="9" max="9" width="8.7109375" style="1" customWidth="1"/>
    <col min="10" max="16384" width="9.140625" style="1" customWidth="1"/>
  </cols>
  <sheetData>
    <row r="1" spans="1:9" ht="13.5" thickBot="1">
      <c r="A1" s="285" t="s">
        <v>84</v>
      </c>
      <c r="B1" s="23"/>
      <c r="C1" s="24"/>
      <c r="D1" s="25" t="s">
        <v>85</v>
      </c>
      <c r="E1" s="26" t="s">
        <v>100</v>
      </c>
      <c r="F1" s="27" t="s">
        <v>101</v>
      </c>
      <c r="G1" s="27"/>
      <c r="H1" s="264" t="s">
        <v>364</v>
      </c>
      <c r="I1" s="265" t="s">
        <v>365</v>
      </c>
    </row>
    <row r="2" spans="1:10" ht="13.5" thickBot="1">
      <c r="A2" s="29" t="s">
        <v>0</v>
      </c>
      <c r="B2" s="245">
        <v>0.3</v>
      </c>
      <c r="C2" s="30" t="s">
        <v>1</v>
      </c>
      <c r="D2" s="9" t="s">
        <v>96</v>
      </c>
      <c r="E2" s="9">
        <f>VLOOKUP(Knihovna!C52,Knihovna!A33:B50,2)</f>
        <v>12</v>
      </c>
      <c r="F2" s="246">
        <v>6</v>
      </c>
      <c r="G2" s="9" t="s">
        <v>86</v>
      </c>
      <c r="H2" s="9">
        <f>F2*0.7854*E2^2</f>
        <v>678.5856</v>
      </c>
      <c r="I2" s="31" t="s">
        <v>88</v>
      </c>
      <c r="J2" s="18"/>
    </row>
    <row r="3" spans="1:9" ht="13.5" thickBot="1">
      <c r="A3" s="29" t="s">
        <v>2</v>
      </c>
      <c r="B3" s="245">
        <v>0.5</v>
      </c>
      <c r="C3" s="30" t="s">
        <v>1</v>
      </c>
      <c r="D3" s="9" t="s">
        <v>97</v>
      </c>
      <c r="E3" s="9">
        <f>VLOOKUP(Knihovna!D52,Knihovna!A33:B50,2)</f>
        <v>6</v>
      </c>
      <c r="F3" s="246">
        <v>0</v>
      </c>
      <c r="G3" s="9" t="s">
        <v>87</v>
      </c>
      <c r="H3" s="9">
        <f>F3*0.7854*E3^2</f>
        <v>0</v>
      </c>
      <c r="I3" s="31" t="s">
        <v>88</v>
      </c>
    </row>
    <row r="4" spans="1:9" ht="12.75">
      <c r="A4" s="32"/>
      <c r="B4" s="3"/>
      <c r="C4" s="33"/>
      <c r="D4" s="3"/>
      <c r="E4" s="3"/>
      <c r="F4" s="3"/>
      <c r="G4" s="3"/>
      <c r="H4" s="3"/>
      <c r="I4" s="33"/>
    </row>
    <row r="5" spans="1:9" ht="12.75">
      <c r="A5" s="22" t="s">
        <v>3</v>
      </c>
      <c r="B5" s="34"/>
      <c r="C5" s="35"/>
      <c r="D5" s="22" t="s">
        <v>104</v>
      </c>
      <c r="E5" s="34"/>
      <c r="F5" s="35"/>
      <c r="G5" s="22" t="s">
        <v>105</v>
      </c>
      <c r="H5" s="34"/>
      <c r="I5" s="35"/>
    </row>
    <row r="6" spans="1:9" ht="12.75">
      <c r="A6" s="29" t="s">
        <v>6</v>
      </c>
      <c r="B6" s="18"/>
      <c r="C6" s="30"/>
      <c r="D6" s="29" t="s">
        <v>7</v>
      </c>
      <c r="E6" s="18"/>
      <c r="F6" s="30" t="str">
        <f>VLOOKUP(Knihovna!C28,Knihovna!A20:H26,3)</f>
        <v>R</v>
      </c>
      <c r="G6" s="29" t="s">
        <v>7</v>
      </c>
      <c r="H6" s="18"/>
      <c r="I6" s="30" t="str">
        <f>VLOOKUP(Knihovna!D28,Knihovna!A20:H26,3)</f>
        <v>R</v>
      </c>
    </row>
    <row r="7" spans="1:9" ht="12.75">
      <c r="A7" s="29" t="s">
        <v>9</v>
      </c>
      <c r="B7" s="18">
        <f>VLOOKUP(Knihovna!C15,Knihovna!A5:K13,3)</f>
        <v>20</v>
      </c>
      <c r="C7" s="30" t="s">
        <v>10</v>
      </c>
      <c r="D7" s="29" t="s">
        <v>83</v>
      </c>
      <c r="E7" s="18">
        <f>VLOOKUP(Knihovna!C28,Knihovna!A20:H26,6)</f>
        <v>500</v>
      </c>
      <c r="F7" s="30" t="s">
        <v>10</v>
      </c>
      <c r="G7" s="29" t="s">
        <v>83</v>
      </c>
      <c r="H7" s="18">
        <f>VLOOKUP(Knihovna!D28,Knihovna!A20:H26,6)</f>
        <v>500</v>
      </c>
      <c r="I7" s="30" t="s">
        <v>10</v>
      </c>
    </row>
    <row r="8" spans="1:9" ht="12.75">
      <c r="A8" s="29" t="s">
        <v>12</v>
      </c>
      <c r="B8" s="18">
        <f>VLOOKUP(Knihovna!C15,Knihovna!A5:K13,5)</f>
        <v>2.2</v>
      </c>
      <c r="C8" s="30" t="s">
        <v>10</v>
      </c>
      <c r="D8" s="9" t="s">
        <v>141</v>
      </c>
      <c r="E8" s="9">
        <f>VLOOKUP(Knihovna!C28,Knihovna!A20:H26,7)</f>
        <v>550</v>
      </c>
      <c r="F8" s="31" t="s">
        <v>10</v>
      </c>
      <c r="G8" s="9" t="s">
        <v>141</v>
      </c>
      <c r="H8" s="9">
        <f>VLOOKUP(Knihovna!D28,Knihovna!A20:H26,7)</f>
        <v>550</v>
      </c>
      <c r="I8" s="31" t="s">
        <v>10</v>
      </c>
    </row>
    <row r="9" spans="1:9" ht="12.75">
      <c r="A9" s="29" t="s">
        <v>15</v>
      </c>
      <c r="B9" s="18">
        <f>1000*(VLOOKUP(Knihovna!C15,Knihovna!A5:K13,8))</f>
        <v>29000</v>
      </c>
      <c r="C9" s="30" t="s">
        <v>17</v>
      </c>
      <c r="D9" s="29" t="s">
        <v>13</v>
      </c>
      <c r="E9" s="247">
        <v>200000</v>
      </c>
      <c r="F9" s="30" t="s">
        <v>17</v>
      </c>
      <c r="G9" s="29" t="s">
        <v>13</v>
      </c>
      <c r="H9" s="18">
        <f>E9</f>
        <v>200000</v>
      </c>
      <c r="I9" s="30" t="s">
        <v>17</v>
      </c>
    </row>
    <row r="10" spans="1:9" ht="12.75">
      <c r="A10" s="36" t="s">
        <v>138</v>
      </c>
      <c r="B10" s="9">
        <f>VLOOKUP(Knihovna!C15,Knihovna!A5:K13,11)</f>
        <v>0.39</v>
      </c>
      <c r="C10" s="30" t="s">
        <v>17</v>
      </c>
      <c r="D10" s="29" t="s">
        <v>99</v>
      </c>
      <c r="E10" s="18" t="str">
        <f>VLOOKUP(Knihovna!C28,Knihovna!A20:H26,4)</f>
        <v>8-36</v>
      </c>
      <c r="F10" s="30" t="s">
        <v>8</v>
      </c>
      <c r="G10" s="29" t="s">
        <v>99</v>
      </c>
      <c r="H10" s="18" t="str">
        <f>VLOOKUP(Knihovna!D28,Knihovna!A20:H26,4)</f>
        <v>8-36</v>
      </c>
      <c r="I10" s="30" t="s">
        <v>8</v>
      </c>
    </row>
    <row r="11" spans="1:9" ht="12.75">
      <c r="A11" s="37" t="s">
        <v>133</v>
      </c>
      <c r="B11" s="247">
        <v>1</v>
      </c>
      <c r="C11" s="30"/>
      <c r="D11" s="29" t="s">
        <v>98</v>
      </c>
      <c r="E11" s="18" t="str">
        <f>VLOOKUP(Knihovna!C28,Knihovna!A20:H26,5)</f>
        <v>žebírkový</v>
      </c>
      <c r="F11" s="30"/>
      <c r="G11" s="29" t="s">
        <v>98</v>
      </c>
      <c r="H11" s="18" t="str">
        <f>VLOOKUP(Knihovna!D28,Knihovna!A20:H26,5)</f>
        <v>žebírkový</v>
      </c>
      <c r="I11" s="30"/>
    </row>
    <row r="12" spans="1:9" ht="12.75">
      <c r="A12" s="37" t="s">
        <v>79</v>
      </c>
      <c r="B12" s="247">
        <v>1.5</v>
      </c>
      <c r="C12" s="30"/>
      <c r="D12" s="37" t="s">
        <v>80</v>
      </c>
      <c r="E12" s="247">
        <v>1.15</v>
      </c>
      <c r="F12" s="30"/>
      <c r="G12" s="37"/>
      <c r="H12" s="18"/>
      <c r="I12" s="30"/>
    </row>
    <row r="13" spans="1:9" ht="12.75">
      <c r="A13" s="29" t="s">
        <v>139</v>
      </c>
      <c r="B13" s="38">
        <f>FLOOR(B7/B12,0.01)</f>
        <v>13.33</v>
      </c>
      <c r="C13" s="39" t="s">
        <v>17</v>
      </c>
      <c r="D13" s="29" t="s">
        <v>82</v>
      </c>
      <c r="E13" s="38">
        <f>FLOOR(E7/E12,0.01)</f>
        <v>434.78000000000003</v>
      </c>
      <c r="F13" s="39" t="s">
        <v>17</v>
      </c>
      <c r="G13" s="29" t="s">
        <v>82</v>
      </c>
      <c r="H13" s="38">
        <f>FLOOR(H7/E12,0.01)</f>
        <v>434.78000000000003</v>
      </c>
      <c r="I13" s="39" t="s">
        <v>17</v>
      </c>
    </row>
    <row r="14" spans="1:9" ht="12.75">
      <c r="A14" s="37" t="s">
        <v>106</v>
      </c>
      <c r="B14" s="247">
        <v>0.0035</v>
      </c>
      <c r="C14" s="30"/>
      <c r="D14" s="37" t="s">
        <v>81</v>
      </c>
      <c r="E14" s="40">
        <f>E13/E9</f>
        <v>0.0021739000000000003</v>
      </c>
      <c r="F14" s="30"/>
      <c r="G14" s="37" t="s">
        <v>81</v>
      </c>
      <c r="H14" s="40">
        <f>H13/H9</f>
        <v>0.0021739000000000003</v>
      </c>
      <c r="I14" s="30"/>
    </row>
    <row r="15" spans="1:9" ht="12.75">
      <c r="A15" s="41"/>
      <c r="B15" s="16"/>
      <c r="C15" s="42"/>
      <c r="D15" s="41"/>
      <c r="E15" s="16"/>
      <c r="F15" s="42"/>
      <c r="G15" s="41"/>
      <c r="H15" s="16"/>
      <c r="I15" s="42"/>
    </row>
    <row r="16" spans="1:9" ht="12.75">
      <c r="A16" s="22" t="s">
        <v>5</v>
      </c>
      <c r="B16" s="34"/>
      <c r="C16" s="35"/>
      <c r="D16" s="25" t="s">
        <v>107</v>
      </c>
      <c r="E16" s="27"/>
      <c r="F16" s="27"/>
      <c r="G16" s="27"/>
      <c r="H16" s="27"/>
      <c r="I16" s="28"/>
    </row>
    <row r="17" spans="1:9" ht="12.75">
      <c r="A17" s="37" t="s">
        <v>349</v>
      </c>
      <c r="B17" s="247">
        <v>5</v>
      </c>
      <c r="C17" s="30" t="s">
        <v>8</v>
      </c>
      <c r="D17" s="9"/>
      <c r="E17" s="9"/>
      <c r="F17" s="9"/>
      <c r="G17" s="9"/>
      <c r="H17" s="9"/>
      <c r="I17" s="31"/>
    </row>
    <row r="18" spans="1:9" ht="12.75">
      <c r="A18" s="43" t="s">
        <v>11</v>
      </c>
      <c r="B18" s="247">
        <v>15</v>
      </c>
      <c r="C18" s="30" t="s">
        <v>8</v>
      </c>
      <c r="D18" s="9"/>
      <c r="E18" s="9"/>
      <c r="F18" s="9"/>
      <c r="G18" s="9"/>
      <c r="H18" s="9"/>
      <c r="I18" s="31"/>
    </row>
    <row r="19" spans="1:9" ht="12.75">
      <c r="A19" s="36" t="s">
        <v>347</v>
      </c>
      <c r="B19" s="247">
        <v>10</v>
      </c>
      <c r="C19" s="30" t="s">
        <v>8</v>
      </c>
      <c r="D19" s="9"/>
      <c r="E19" s="9"/>
      <c r="F19" s="9"/>
      <c r="G19" s="9"/>
      <c r="H19" s="9"/>
      <c r="I19" s="31"/>
    </row>
    <row r="20" spans="1:9" ht="12.75">
      <c r="A20" s="29" t="s">
        <v>140</v>
      </c>
      <c r="B20" s="18">
        <f>B18+B17+B19</f>
        <v>30</v>
      </c>
      <c r="C20" s="30" t="s">
        <v>8</v>
      </c>
      <c r="D20" s="9"/>
      <c r="E20" s="9"/>
      <c r="F20" s="9"/>
      <c r="G20" s="9"/>
      <c r="H20" s="9"/>
      <c r="I20" s="31"/>
    </row>
    <row r="21" spans="1:9" ht="12.75">
      <c r="A21" s="29" t="s">
        <v>102</v>
      </c>
      <c r="B21" s="18">
        <f>B20+E2/2</f>
        <v>36</v>
      </c>
      <c r="C21" s="30" t="s">
        <v>8</v>
      </c>
      <c r="D21" s="9"/>
      <c r="E21" s="9"/>
      <c r="F21" s="9"/>
      <c r="G21" s="9"/>
      <c r="H21" s="9"/>
      <c r="I21" s="31"/>
    </row>
    <row r="22" spans="1:9" ht="12.75">
      <c r="A22" s="29" t="s">
        <v>103</v>
      </c>
      <c r="B22" s="18">
        <f>B20+E3/2</f>
        <v>33</v>
      </c>
      <c r="C22" s="31" t="s">
        <v>8</v>
      </c>
      <c r="D22" s="9"/>
      <c r="E22" s="9"/>
      <c r="F22" s="9"/>
      <c r="G22" s="9"/>
      <c r="H22" s="9"/>
      <c r="I22" s="31"/>
    </row>
    <row r="23" spans="1:9" ht="12.75">
      <c r="A23" s="29" t="s">
        <v>19</v>
      </c>
      <c r="B23" s="44">
        <f>B3-B21*0.001</f>
        <v>0.46399999999999997</v>
      </c>
      <c r="C23" s="30" t="s">
        <v>18</v>
      </c>
      <c r="D23" s="9"/>
      <c r="E23" s="9"/>
      <c r="F23" s="9"/>
      <c r="G23" s="9"/>
      <c r="H23" s="9"/>
      <c r="I23" s="31"/>
    </row>
    <row r="24" spans="1:9" ht="12.75">
      <c r="A24" s="45"/>
      <c r="B24" s="9"/>
      <c r="C24" s="31"/>
      <c r="D24" s="9"/>
      <c r="E24" s="9"/>
      <c r="F24" s="9"/>
      <c r="G24" s="9"/>
      <c r="H24" s="9"/>
      <c r="I24" s="31"/>
    </row>
    <row r="25" spans="1:9" ht="12.75">
      <c r="A25" s="45"/>
      <c r="B25" s="9"/>
      <c r="C25" s="31"/>
      <c r="D25" s="9"/>
      <c r="E25" s="9"/>
      <c r="F25" s="9"/>
      <c r="G25" s="9"/>
      <c r="H25" s="9"/>
      <c r="I25" s="31"/>
    </row>
    <row r="26" spans="1:9" ht="12.75">
      <c r="A26" s="45"/>
      <c r="B26" s="9"/>
      <c r="C26" s="31"/>
      <c r="D26" s="9"/>
      <c r="E26" s="9"/>
      <c r="F26" s="9"/>
      <c r="G26" s="9"/>
      <c r="H26" s="9"/>
      <c r="I26" s="31"/>
    </row>
    <row r="27" spans="1:9" ht="12.75">
      <c r="A27" s="32"/>
      <c r="B27" s="3"/>
      <c r="C27" s="33"/>
      <c r="D27" s="3"/>
      <c r="E27" s="3"/>
      <c r="F27" s="3"/>
      <c r="G27" s="3"/>
      <c r="H27" s="3"/>
      <c r="I27" s="33"/>
    </row>
    <row r="28" ht="12.75"/>
    <row r="29" spans="1:9" ht="12.75">
      <c r="A29" s="46" t="s">
        <v>20</v>
      </c>
      <c r="B29" s="27"/>
      <c r="C29" s="27"/>
      <c r="D29" s="27"/>
      <c r="E29" s="27"/>
      <c r="F29" s="27"/>
      <c r="G29" s="27"/>
      <c r="H29" s="27"/>
      <c r="I29" s="28"/>
    </row>
    <row r="30" spans="1:9" ht="12.75">
      <c r="A30" s="47" t="s">
        <v>117</v>
      </c>
      <c r="B30" s="9"/>
      <c r="C30" s="9"/>
      <c r="D30" s="9"/>
      <c r="E30" s="9"/>
      <c r="F30" s="9"/>
      <c r="G30" s="9"/>
      <c r="H30" s="9"/>
      <c r="I30" s="31"/>
    </row>
    <row r="31" spans="1:9" ht="12.75">
      <c r="A31" s="29" t="s">
        <v>130</v>
      </c>
      <c r="B31" s="18"/>
      <c r="C31" s="18"/>
      <c r="D31" s="9"/>
      <c r="E31" s="9"/>
      <c r="F31" s="9"/>
      <c r="G31" s="9"/>
      <c r="H31" s="9"/>
      <c r="I31" s="31"/>
    </row>
    <row r="32" spans="1:9" ht="12.75">
      <c r="A32" s="45"/>
      <c r="B32" s="9" t="s">
        <v>108</v>
      </c>
      <c r="C32" s="9">
        <f>(H3*H9*B14-H2*E13)^2+4*0.8*B11*(B2*1000)*B13*B22*H3*H9*B14</f>
        <v>87045915085.62175</v>
      </c>
      <c r="D32" s="9"/>
      <c r="E32" s="9"/>
      <c r="F32" s="9"/>
      <c r="G32" s="9"/>
      <c r="H32" s="9"/>
      <c r="I32" s="31"/>
    </row>
    <row r="33" spans="1:9" ht="12.75">
      <c r="A33" s="45"/>
      <c r="B33" s="9" t="s">
        <v>109</v>
      </c>
      <c r="C33" s="9">
        <f>(-H3*H9*B14+H2*E13+SQRT(C32))/(2*0.8*B11*(B2*1000)*B13)</f>
        <v>92.22163264816206</v>
      </c>
      <c r="D33" s="9" t="s">
        <v>8</v>
      </c>
      <c r="E33" s="48" t="s">
        <v>112</v>
      </c>
      <c r="F33" s="9">
        <f>B14*(B23*1000-C35)/C35</f>
        <v>0.01410975113285815</v>
      </c>
      <c r="G33" s="9" t="s">
        <v>115</v>
      </c>
      <c r="H33" s="49" t="b">
        <f>IF(F33&gt;=E14,TRUE,FALSE)</f>
        <v>1</v>
      </c>
      <c r="I33" s="31"/>
    </row>
    <row r="34" spans="1:9" ht="12.75">
      <c r="A34" s="45"/>
      <c r="B34" s="9" t="s">
        <v>110</v>
      </c>
      <c r="C34" s="9">
        <f>(-H3*H9*B14+H2*E13-SQRT(C32))/(2*0.8*B11*(B2*1000)*B13)</f>
        <v>0</v>
      </c>
      <c r="D34" s="9" t="s">
        <v>8</v>
      </c>
      <c r="E34" s="48" t="s">
        <v>113</v>
      </c>
      <c r="F34" s="9">
        <f>B14*(C35-B22)/C35</f>
        <v>0.0022475823547751747</v>
      </c>
      <c r="G34" s="9" t="s">
        <v>114</v>
      </c>
      <c r="H34" s="49" t="b">
        <f>IF(F34&lt;H14,TRUE,FALSE)</f>
        <v>0</v>
      </c>
      <c r="I34" s="31"/>
    </row>
    <row r="35" spans="1:9" ht="12.75">
      <c r="A35" s="45"/>
      <c r="B35" s="9" t="s">
        <v>111</v>
      </c>
      <c r="C35" s="9">
        <f>IF(C33&gt;C34,C33,C34)</f>
        <v>92.22163264816206</v>
      </c>
      <c r="D35" s="9" t="s">
        <v>8</v>
      </c>
      <c r="E35" s="9"/>
      <c r="F35" s="9"/>
      <c r="G35" s="9"/>
      <c r="H35" s="50" t="b">
        <f>IF(AND(H33=TRUE,H34=TRUE),TRUE,FALSE)</f>
        <v>0</v>
      </c>
      <c r="I35" s="31"/>
    </row>
    <row r="36" spans="1:9" ht="12.75">
      <c r="A36" s="45"/>
      <c r="B36" s="48" t="s">
        <v>123</v>
      </c>
      <c r="C36" s="9">
        <f>E13</f>
        <v>434.78000000000003</v>
      </c>
      <c r="D36" s="9" t="s">
        <v>17</v>
      </c>
      <c r="E36" s="9"/>
      <c r="F36" s="9"/>
      <c r="G36" s="9"/>
      <c r="H36" s="9"/>
      <c r="I36" s="31"/>
    </row>
    <row r="37" spans="1:9" ht="12.75" customHeight="1">
      <c r="A37" s="45"/>
      <c r="B37" s="48" t="s">
        <v>124</v>
      </c>
      <c r="C37" s="9">
        <f>H9*F34</f>
        <v>449.51647095503495</v>
      </c>
      <c r="D37" s="9" t="s">
        <v>17</v>
      </c>
      <c r="E37" s="9"/>
      <c r="F37" s="9"/>
      <c r="G37" s="9"/>
      <c r="H37" s="9"/>
      <c r="I37" s="31"/>
    </row>
    <row r="38" spans="1:9" ht="12.75">
      <c r="A38" s="45"/>
      <c r="B38" s="9"/>
      <c r="C38" s="9"/>
      <c r="D38" s="9"/>
      <c r="E38" s="9"/>
      <c r="F38" s="9"/>
      <c r="G38" s="9"/>
      <c r="H38" s="9"/>
      <c r="I38" s="31"/>
    </row>
    <row r="39" spans="1:9" ht="12.75">
      <c r="A39" s="29" t="s">
        <v>131</v>
      </c>
      <c r="B39" s="9"/>
      <c r="C39" s="9"/>
      <c r="D39" s="9"/>
      <c r="E39" s="9"/>
      <c r="F39" s="9"/>
      <c r="G39" s="9"/>
      <c r="H39" s="9"/>
      <c r="I39" s="31"/>
    </row>
    <row r="40" spans="1:9" ht="12.75">
      <c r="A40" s="45"/>
      <c r="B40" s="9" t="s">
        <v>111</v>
      </c>
      <c r="C40" s="9">
        <f>(H2*E13-H3*H13)/(0.8*B11*B2*1000*B13)</f>
        <v>92.22163264816206</v>
      </c>
      <c r="D40" s="9" t="s">
        <v>8</v>
      </c>
      <c r="E40" s="48" t="s">
        <v>112</v>
      </c>
      <c r="F40" s="9">
        <f>B14*(B23*1000-C40)/C40</f>
        <v>0.01410975113285815</v>
      </c>
      <c r="G40" s="9" t="s">
        <v>115</v>
      </c>
      <c r="H40" s="49" t="b">
        <f>IF(F40&gt;=E14,TRUE,FALSE)</f>
        <v>1</v>
      </c>
      <c r="I40" s="31"/>
    </row>
    <row r="41" spans="1:9" ht="12.75">
      <c r="A41" s="45"/>
      <c r="B41" s="48" t="s">
        <v>123</v>
      </c>
      <c r="C41" s="9">
        <f>E13</f>
        <v>434.78000000000003</v>
      </c>
      <c r="D41" s="9" t="s">
        <v>17</v>
      </c>
      <c r="E41" s="48" t="s">
        <v>113</v>
      </c>
      <c r="F41" s="9">
        <f>0.0035*(C40-B22)/C40</f>
        <v>0.0022475823547751747</v>
      </c>
      <c r="G41" s="9" t="s">
        <v>116</v>
      </c>
      <c r="H41" s="49" t="b">
        <f>IF(F41&gt;=H14,TRUE,FALSE)</f>
        <v>1</v>
      </c>
      <c r="I41" s="31"/>
    </row>
    <row r="42" spans="1:9" ht="12.75">
      <c r="A42" s="45"/>
      <c r="B42" s="48" t="s">
        <v>124</v>
      </c>
      <c r="C42" s="9">
        <f>H13</f>
        <v>434.78000000000003</v>
      </c>
      <c r="D42" s="9" t="s">
        <v>17</v>
      </c>
      <c r="E42" s="9"/>
      <c r="F42" s="9"/>
      <c r="G42" s="9"/>
      <c r="H42" s="50" t="b">
        <f>IF(C40=0,FALSE,IF(AND(H40=TRUE,H41=TRUE),TRUE,FALSE))</f>
        <v>1</v>
      </c>
      <c r="I42" s="31"/>
    </row>
    <row r="43" spans="1:9" ht="12.75">
      <c r="A43" s="45"/>
      <c r="B43" s="9"/>
      <c r="C43" s="9"/>
      <c r="D43" s="9"/>
      <c r="E43" s="9"/>
      <c r="F43" s="9"/>
      <c r="G43" s="9"/>
      <c r="H43" s="9"/>
      <c r="I43" s="31"/>
    </row>
    <row r="44" spans="1:9" ht="12.75">
      <c r="A44" s="29" t="s">
        <v>189</v>
      </c>
      <c r="B44" s="9"/>
      <c r="C44" s="9"/>
      <c r="D44" s="9"/>
      <c r="E44" s="9"/>
      <c r="F44" s="9"/>
      <c r="G44" s="9"/>
      <c r="H44" s="9"/>
      <c r="I44" s="31"/>
    </row>
    <row r="45" spans="1:9" ht="12.75">
      <c r="A45" s="45"/>
      <c r="B45" s="9" t="s">
        <v>108</v>
      </c>
      <c r="C45" s="9">
        <f>(H2*E9*B14+H3*H13)^2+4*0.8*B11*B2*1000*B13*H2*E9*B14*B23*1000</f>
        <v>3046108046233.19</v>
      </c>
      <c r="D45" s="9"/>
      <c r="E45" s="9"/>
      <c r="F45" s="9"/>
      <c r="G45" s="9"/>
      <c r="H45" s="9"/>
      <c r="I45" s="31"/>
    </row>
    <row r="46" spans="1:9" ht="12.75">
      <c r="A46" s="45"/>
      <c r="B46" s="9" t="s">
        <v>109</v>
      </c>
      <c r="C46" s="9">
        <f>(-H2*E9*B14-H3*H13+SQRT(C45))/(2*0.8*B11*B2*1000*B13)</f>
        <v>198.53406802392652</v>
      </c>
      <c r="D46" s="9" t="s">
        <v>8</v>
      </c>
      <c r="E46" s="48" t="s">
        <v>112</v>
      </c>
      <c r="F46" s="9">
        <f>(B14*(B23*1000-C48))/C48</f>
        <v>0.004679956297496921</v>
      </c>
      <c r="G46" s="9" t="s">
        <v>190</v>
      </c>
      <c r="H46" s="49" t="b">
        <f>IF(F46&lt;E14,TRUE,FALSE)</f>
        <v>0</v>
      </c>
      <c r="I46" s="31"/>
    </row>
    <row r="47" spans="1:9" ht="12.75">
      <c r="A47" s="45"/>
      <c r="B47" s="9" t="s">
        <v>110</v>
      </c>
      <c r="C47" s="9">
        <f>(-H2*E9*B14-H3*H13-SQRT(C45))/(2*0.8*B11*B2*1000*B13)</f>
        <v>-347.01178745378394</v>
      </c>
      <c r="D47" s="9" t="s">
        <v>8</v>
      </c>
      <c r="E47" s="48" t="s">
        <v>113</v>
      </c>
      <c r="F47" s="9">
        <f>(B14*(C48-B22))/C48</f>
        <v>0.0029182358667728483</v>
      </c>
      <c r="G47" s="9" t="s">
        <v>116</v>
      </c>
      <c r="H47" s="51" t="b">
        <f>IF(F47&gt;=H14,TRUE,FALSE)</f>
        <v>1</v>
      </c>
      <c r="I47" s="31"/>
    </row>
    <row r="48" spans="1:9" ht="12.75">
      <c r="A48" s="45"/>
      <c r="B48" s="9" t="s">
        <v>111</v>
      </c>
      <c r="C48" s="9">
        <f>IF(C46&gt;C47,C46,C47)</f>
        <v>198.53406802392652</v>
      </c>
      <c r="D48" s="9" t="s">
        <v>8</v>
      </c>
      <c r="E48" s="9"/>
      <c r="F48" s="9"/>
      <c r="G48" s="9"/>
      <c r="H48" s="50" t="b">
        <f>IF(AND(H46=TRUE,H47=TRUE),TRUE,FALSE)</f>
        <v>0</v>
      </c>
      <c r="I48" s="31"/>
    </row>
    <row r="49" spans="1:9" ht="12.75" customHeight="1">
      <c r="A49" s="45"/>
      <c r="B49" s="48" t="s">
        <v>123</v>
      </c>
      <c r="C49" s="9">
        <f>E9*F46</f>
        <v>935.9912594993842</v>
      </c>
      <c r="D49" s="9" t="s">
        <v>17</v>
      </c>
      <c r="E49" s="9"/>
      <c r="F49" s="9"/>
      <c r="G49" s="9"/>
      <c r="H49" s="9"/>
      <c r="I49" s="31"/>
    </row>
    <row r="50" spans="1:9" ht="12.75">
      <c r="A50" s="45"/>
      <c r="B50" s="48" t="s">
        <v>124</v>
      </c>
      <c r="C50" s="9">
        <f>H13</f>
        <v>434.78000000000003</v>
      </c>
      <c r="D50" s="9" t="s">
        <v>17</v>
      </c>
      <c r="E50" s="9"/>
      <c r="F50" s="9"/>
      <c r="G50" s="9"/>
      <c r="H50" s="9"/>
      <c r="I50" s="31"/>
    </row>
    <row r="51" spans="1:9" ht="12.75">
      <c r="A51" s="45"/>
      <c r="B51" s="9"/>
      <c r="C51" s="9"/>
      <c r="D51" s="9"/>
      <c r="E51" s="9"/>
      <c r="F51" s="9"/>
      <c r="G51" s="9"/>
      <c r="H51" s="9"/>
      <c r="I51" s="31"/>
    </row>
    <row r="52" spans="1:9" ht="12.75">
      <c r="A52" s="29" t="s">
        <v>191</v>
      </c>
      <c r="B52" s="9"/>
      <c r="C52" s="9"/>
      <c r="D52" s="9"/>
      <c r="E52" s="9"/>
      <c r="F52" s="9"/>
      <c r="G52" s="9"/>
      <c r="H52" s="9"/>
      <c r="I52" s="31"/>
    </row>
    <row r="53" spans="1:9" ht="12.75">
      <c r="A53" s="45"/>
      <c r="B53" s="9" t="s">
        <v>108</v>
      </c>
      <c r="C53" s="9">
        <f>(H2+H3)^2+4*0.8/(E9*B14)*B11*B2*1000*B13*(H3*B22+H2*B23*1000)</f>
        <v>6216547.033128959</v>
      </c>
      <c r="D53" s="9"/>
      <c r="E53" s="9"/>
      <c r="F53" s="9"/>
      <c r="G53" s="9"/>
      <c r="H53" s="9"/>
      <c r="I53" s="31"/>
    </row>
    <row r="54" spans="1:9" ht="12.75">
      <c r="A54" s="45"/>
      <c r="B54" s="9" t="s">
        <v>109</v>
      </c>
      <c r="C54" s="9">
        <f>(-(H2+H3)+SQRT(C53))/(2*0.8/(E9*B14)*B11*B2*1000*B13)</f>
        <v>198.5340680239265</v>
      </c>
      <c r="D54" s="9" t="s">
        <v>8</v>
      </c>
      <c r="E54" s="48" t="s">
        <v>112</v>
      </c>
      <c r="F54" s="9">
        <f>(B14*(B23*1000-C56))/C56</f>
        <v>0.004679956297496921</v>
      </c>
      <c r="G54" s="9" t="s">
        <v>190</v>
      </c>
      <c r="H54" s="49" t="b">
        <f>IF(F54&lt;E14,TRUE,FALSE)</f>
        <v>0</v>
      </c>
      <c r="I54" s="31"/>
    </row>
    <row r="55" spans="1:9" ht="12.75">
      <c r="A55" s="45"/>
      <c r="B55" s="9" t="s">
        <v>110</v>
      </c>
      <c r="C55" s="9">
        <f>(-(H2+H3)-SQRT(C53))/(2*0.8/(E9*B14)*B11*B2*1000*B13)</f>
        <v>-347.01178745378394</v>
      </c>
      <c r="D55" s="9" t="s">
        <v>8</v>
      </c>
      <c r="E55" s="48" t="s">
        <v>113</v>
      </c>
      <c r="F55" s="9">
        <f>(B14*(C56-B22))/C56</f>
        <v>0.0029182358667728483</v>
      </c>
      <c r="G55" s="9" t="s">
        <v>114</v>
      </c>
      <c r="H55" s="51" t="b">
        <f>IF(F55&lt;H14,TRUE,FALSE)</f>
        <v>0</v>
      </c>
      <c r="I55" s="31"/>
    </row>
    <row r="56" spans="1:9" ht="12.75">
      <c r="A56" s="45"/>
      <c r="B56" s="9" t="s">
        <v>111</v>
      </c>
      <c r="C56" s="9">
        <f>IF(C54&gt;C55,C54,C55)</f>
        <v>198.5340680239265</v>
      </c>
      <c r="D56" s="9" t="s">
        <v>8</v>
      </c>
      <c r="E56" s="9"/>
      <c r="F56" s="9"/>
      <c r="G56" s="9"/>
      <c r="H56" s="50" t="b">
        <f>IF(AND(H54=TRUE,H55=TRUE),TRUE,FALSE)</f>
        <v>0</v>
      </c>
      <c r="I56" s="31"/>
    </row>
    <row r="57" spans="1:9" ht="12.75">
      <c r="A57" s="45"/>
      <c r="B57" s="48" t="s">
        <v>123</v>
      </c>
      <c r="C57" s="9">
        <f>E9*F54</f>
        <v>935.9912594993842</v>
      </c>
      <c r="D57" s="9" t="s">
        <v>17</v>
      </c>
      <c r="E57" s="9"/>
      <c r="F57" s="9"/>
      <c r="G57" s="9"/>
      <c r="H57" s="9"/>
      <c r="I57" s="31"/>
    </row>
    <row r="58" spans="1:9" ht="12.75">
      <c r="A58" s="45"/>
      <c r="B58" s="48" t="s">
        <v>124</v>
      </c>
      <c r="C58" s="9">
        <f>H9*F55</f>
        <v>583.6471733545696</v>
      </c>
      <c r="D58" s="9" t="s">
        <v>17</v>
      </c>
      <c r="E58" s="9"/>
      <c r="F58" s="9"/>
      <c r="G58" s="9"/>
      <c r="H58" s="9"/>
      <c r="I58" s="31"/>
    </row>
    <row r="59" spans="1:9" ht="12.75">
      <c r="A59" s="45"/>
      <c r="B59" s="9"/>
      <c r="C59" s="9"/>
      <c r="D59" s="9"/>
      <c r="E59" s="9"/>
      <c r="F59" s="9"/>
      <c r="G59" s="9"/>
      <c r="H59" s="9"/>
      <c r="I59" s="31"/>
    </row>
    <row r="60" spans="1:9" ht="12.75">
      <c r="A60" s="47" t="s">
        <v>118</v>
      </c>
      <c r="B60" s="9"/>
      <c r="C60" s="9"/>
      <c r="D60" s="9"/>
      <c r="E60" s="9"/>
      <c r="F60" s="9"/>
      <c r="G60" s="9"/>
      <c r="H60" s="9"/>
      <c r="I60" s="31"/>
    </row>
    <row r="61" spans="1:9" ht="38.25">
      <c r="A61" s="52" t="s">
        <v>119</v>
      </c>
      <c r="B61" s="53">
        <f>1*(IF(H35=TRUE,1,"")&amp;IF(H42=TRUE,2,"")&amp;IF(H48=TRUE,3,"")&amp;IF(H56=TRUE,4,""))</f>
        <v>2</v>
      </c>
      <c r="C61" s="9"/>
      <c r="D61" s="9"/>
      <c r="E61" s="9"/>
      <c r="F61" s="9"/>
      <c r="G61" s="9"/>
      <c r="H61" s="9"/>
      <c r="I61" s="31"/>
    </row>
    <row r="62" spans="1:9" ht="12.75">
      <c r="A62" s="45" t="s">
        <v>111</v>
      </c>
      <c r="B62" s="54">
        <f>1*(IF(B61=1,C35,)&amp;IF(B61=2,C40,)&amp;IF(B61=3,C48,)&amp;IF(B61=4,C56,))</f>
        <v>92.2216326481621</v>
      </c>
      <c r="C62" s="9" t="s">
        <v>8</v>
      </c>
      <c r="D62" s="9"/>
      <c r="I62" s="31"/>
    </row>
    <row r="63" spans="1:9" ht="12.75">
      <c r="A63" s="36" t="s">
        <v>123</v>
      </c>
      <c r="B63" s="55">
        <f>1*(IF(B61=1,C36,)&amp;IF(B61=2,C41,)&amp;IF(B61=3,C49,)&amp;IF(B61=4,C57,))</f>
        <v>434.78</v>
      </c>
      <c r="C63" s="1" t="s">
        <v>17</v>
      </c>
      <c r="D63" s="48" t="s">
        <v>112</v>
      </c>
      <c r="E63" s="55">
        <f>1*(IF(B61=1,F33,)&amp;IF(B61=2,F40,)&amp;IF(B61=3,F46,)&amp;IF(B61=4,F54,))</f>
        <v>0.0141097511328582</v>
      </c>
      <c r="F63" s="9"/>
      <c r="G63" s="9" t="s">
        <v>125</v>
      </c>
      <c r="H63" s="56">
        <f>H2*B63*0.001</f>
        <v>295.035447168</v>
      </c>
      <c r="I63" s="31" t="s">
        <v>132</v>
      </c>
    </row>
    <row r="64" spans="1:9" ht="12.75">
      <c r="A64" s="36" t="s">
        <v>124</v>
      </c>
      <c r="B64" s="55">
        <f>1*(IF(B61=1,C37,)&amp;IF(B61=2,C42,)&amp;IF(B61=3,C50,)&amp;IF(B61=4,C58,))</f>
        <v>434.78</v>
      </c>
      <c r="C64" s="1" t="s">
        <v>17</v>
      </c>
      <c r="D64" s="48" t="s">
        <v>113</v>
      </c>
      <c r="E64" s="55">
        <f>1*(IF(B61=1,F34,)&amp;IF(B61=2,F41,)&amp;IF(B61=3,F47,)&amp;IF(B61=4,F55,))</f>
        <v>0.00224758235477517</v>
      </c>
      <c r="F64" s="9"/>
      <c r="G64" s="9" t="s">
        <v>126</v>
      </c>
      <c r="H64" s="56">
        <f>H3*B64*0.001</f>
        <v>0</v>
      </c>
      <c r="I64" s="31" t="s">
        <v>132</v>
      </c>
    </row>
    <row r="65" spans="1:9" ht="12.75">
      <c r="A65" s="57" t="s">
        <v>342</v>
      </c>
      <c r="B65" s="58">
        <f>B62/(B23*1000)</f>
        <v>0.19875351863828042</v>
      </c>
      <c r="C65" s="9" t="s">
        <v>120</v>
      </c>
      <c r="D65" s="9"/>
      <c r="E65" s="9"/>
      <c r="F65" s="9"/>
      <c r="G65" s="9" t="s">
        <v>127</v>
      </c>
      <c r="H65" s="56">
        <f>(0.8*B62*B11*B2*1000*B13)*0.001</f>
        <v>295.03544716800025</v>
      </c>
      <c r="I65" s="31" t="s">
        <v>132</v>
      </c>
    </row>
    <row r="66" spans="1:9" ht="12.75">
      <c r="A66" s="57" t="s">
        <v>343</v>
      </c>
      <c r="B66" s="59">
        <f>H2*0.000001/(B2*B23)</f>
        <v>0.004874896551724138</v>
      </c>
      <c r="C66" s="9" t="s">
        <v>136</v>
      </c>
      <c r="D66" s="60">
        <f>0.6/E7</f>
        <v>0.0012</v>
      </c>
      <c r="E66" s="9"/>
      <c r="I66" s="31"/>
    </row>
    <row r="67" spans="1:9" ht="13.5" thickBot="1">
      <c r="A67" s="36" t="s">
        <v>135</v>
      </c>
      <c r="B67" s="60">
        <f>H2*0.000001/(B2*B3)</f>
        <v>0.0045239040000000005</v>
      </c>
      <c r="C67" s="9" t="s">
        <v>137</v>
      </c>
      <c r="D67" s="60">
        <v>0.04</v>
      </c>
      <c r="E67" s="9"/>
      <c r="F67" s="9"/>
      <c r="G67" s="9" t="s">
        <v>277</v>
      </c>
      <c r="H67" s="248">
        <v>120</v>
      </c>
      <c r="I67" s="31" t="s">
        <v>129</v>
      </c>
    </row>
    <row r="68" spans="1:9" ht="17.25" thickBot="1" thickTop="1">
      <c r="A68" s="45" t="s">
        <v>121</v>
      </c>
      <c r="B68" s="9">
        <f>B23*1000-0.4*B62</f>
        <v>427.1113469407351</v>
      </c>
      <c r="C68" s="9" t="s">
        <v>8</v>
      </c>
      <c r="D68" s="9"/>
      <c r="E68" s="9"/>
      <c r="F68" s="9"/>
      <c r="G68" s="61" t="s">
        <v>128</v>
      </c>
      <c r="H68" s="62">
        <f>(H64*B69+H65*B68)*0.001</f>
        <v>126.01298723518667</v>
      </c>
      <c r="I68" s="63" t="s">
        <v>129</v>
      </c>
    </row>
    <row r="69" spans="1:9" ht="13.5" thickTop="1">
      <c r="A69" s="32" t="s">
        <v>122</v>
      </c>
      <c r="B69" s="3">
        <f>B23*1000-B22</f>
        <v>430.99999999999994</v>
      </c>
      <c r="C69" s="3" t="s">
        <v>8</v>
      </c>
      <c r="D69" s="3"/>
      <c r="E69" s="3"/>
      <c r="F69" s="3"/>
      <c r="G69" s="3" t="s">
        <v>278</v>
      </c>
      <c r="H69" s="64">
        <f>H67/H68</f>
        <v>0.9522827974551209</v>
      </c>
      <c r="I69" s="33"/>
    </row>
    <row r="70" spans="1:9" ht="12.75">
      <c r="A70" s="1" t="s">
        <v>360</v>
      </c>
      <c r="I70" s="65">
        <f ca="1">TODAY()</f>
        <v>39963</v>
      </c>
    </row>
    <row r="71" spans="1:9" ht="12.75">
      <c r="A71" s="1" t="s">
        <v>393</v>
      </c>
      <c r="D71" s="66"/>
      <c r="I71" s="67" t="s">
        <v>371</v>
      </c>
    </row>
    <row r="72" ht="12.75"/>
    <row r="73" ht="12.75"/>
    <row r="77" ht="12.75">
      <c r="A77" s="66"/>
    </row>
  </sheetData>
  <hyperlinks>
    <hyperlink ref="I71" r:id="rId1" display="http://www.pro-eng.com/"/>
  </hyperlinks>
  <printOptions horizontalCentered="1"/>
  <pageMargins left="0.3937007874015748" right="0.3937007874015748" top="0.6299212598425197" bottom="0.6299212598425197" header="0.35433070866141736" footer="0.3937007874015748"/>
  <pageSetup blackAndWhite="1" fitToHeight="1" fitToWidth="1" horizontalDpi="240" verticalDpi="240" orientation="portrait" paperSize="9" scale="77" r:id="rId5"/>
  <headerFooter alignWithMargins="0">
    <oddHeader>&amp;CPosouzení betonových prvků dle EuroCode 2</oddHead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54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14.28125" style="1" customWidth="1"/>
    <col min="2" max="2" width="11.00390625" style="1" customWidth="1"/>
    <col min="3" max="3" width="7.57421875" style="1" customWidth="1"/>
    <col min="4" max="4" width="10.57421875" style="1" customWidth="1"/>
    <col min="5" max="5" width="12.00390625" style="1" customWidth="1"/>
    <col min="6" max="6" width="16.00390625" style="1" customWidth="1"/>
    <col min="7" max="7" width="10.7109375" style="1" customWidth="1"/>
    <col min="8" max="8" width="10.421875" style="1" customWidth="1"/>
    <col min="9" max="9" width="8.421875" style="1" customWidth="1"/>
    <col min="10" max="16384" width="9.140625" style="1" customWidth="1"/>
  </cols>
  <sheetData>
    <row r="1" spans="1:9" ht="13.5" thickBot="1">
      <c r="A1" s="22" t="s">
        <v>84</v>
      </c>
      <c r="B1" s="23"/>
      <c r="C1" s="24"/>
      <c r="D1" s="25" t="s">
        <v>85</v>
      </c>
      <c r="E1" s="26" t="s">
        <v>100</v>
      </c>
      <c r="F1" s="27" t="s">
        <v>101</v>
      </c>
      <c r="G1" s="27"/>
      <c r="H1" s="264" t="s">
        <v>364</v>
      </c>
      <c r="I1" s="265" t="s">
        <v>365</v>
      </c>
    </row>
    <row r="2" spans="1:9" ht="13.5" thickBot="1">
      <c r="A2" s="29" t="s">
        <v>0</v>
      </c>
      <c r="B2" s="245">
        <v>0.3</v>
      </c>
      <c r="C2" s="30" t="s">
        <v>1</v>
      </c>
      <c r="D2" s="9" t="s">
        <v>96</v>
      </c>
      <c r="E2" s="9">
        <f>VLOOKUP(Knihovna!H52,Knihovna!A33:B50,2)</f>
        <v>20</v>
      </c>
      <c r="F2" s="246">
        <v>4</v>
      </c>
      <c r="G2" s="9" t="s">
        <v>86</v>
      </c>
      <c r="H2" s="9">
        <f>F2*0.7854*E2^2</f>
        <v>1256.6399999999999</v>
      </c>
      <c r="I2" s="31" t="s">
        <v>88</v>
      </c>
    </row>
    <row r="3" spans="1:9" ht="13.5" thickBot="1">
      <c r="A3" s="29" t="s">
        <v>2</v>
      </c>
      <c r="B3" s="245">
        <v>0.5</v>
      </c>
      <c r="C3" s="30" t="s">
        <v>1</v>
      </c>
      <c r="D3" s="9" t="s">
        <v>97</v>
      </c>
      <c r="E3" s="9">
        <f>VLOOKUP(Knihovna!I52,Knihovna!A33:B50,2)</f>
        <v>20</v>
      </c>
      <c r="F3" s="246">
        <v>2</v>
      </c>
      <c r="G3" s="9" t="s">
        <v>87</v>
      </c>
      <c r="H3" s="9">
        <f>F3*0.7854*E3^2</f>
        <v>628.3199999999999</v>
      </c>
      <c r="I3" s="31" t="s">
        <v>88</v>
      </c>
    </row>
    <row r="4" spans="1:9" ht="12.75">
      <c r="A4" s="32"/>
      <c r="B4" s="3"/>
      <c r="C4" s="33"/>
      <c r="D4" s="3"/>
      <c r="E4" s="3"/>
      <c r="F4" s="3"/>
      <c r="G4" s="3"/>
      <c r="H4" s="3"/>
      <c r="I4" s="33"/>
    </row>
    <row r="5" spans="1:9" ht="12.75">
      <c r="A5" s="22" t="s">
        <v>3</v>
      </c>
      <c r="B5" s="34"/>
      <c r="C5" s="35"/>
      <c r="D5" s="22" t="s">
        <v>104</v>
      </c>
      <c r="E5" s="34"/>
      <c r="F5" s="34"/>
      <c r="G5" s="22" t="s">
        <v>105</v>
      </c>
      <c r="H5" s="34"/>
      <c r="I5" s="35"/>
    </row>
    <row r="6" spans="1:9" ht="12.75">
      <c r="A6" s="29" t="s">
        <v>6</v>
      </c>
      <c r="B6" s="18"/>
      <c r="C6" s="30"/>
      <c r="D6" s="29" t="s">
        <v>7</v>
      </c>
      <c r="E6" s="18"/>
      <c r="F6" s="18" t="str">
        <f>VLOOKUP(Knihovna!H28,Knihovna!A20:H26,3)</f>
        <v>R</v>
      </c>
      <c r="G6" s="29" t="s">
        <v>7</v>
      </c>
      <c r="H6" s="18"/>
      <c r="I6" s="30" t="str">
        <f>VLOOKUP(Knihovna!H28,Knihovna!A20:H26,3)</f>
        <v>R</v>
      </c>
    </row>
    <row r="7" spans="1:9" ht="12.75">
      <c r="A7" s="29" t="s">
        <v>9</v>
      </c>
      <c r="B7" s="18">
        <f>VLOOKUP(Knihovna!E15,Knihovna!A5:K13,3)</f>
        <v>30</v>
      </c>
      <c r="C7" s="30" t="s">
        <v>10</v>
      </c>
      <c r="D7" s="29" t="s">
        <v>83</v>
      </c>
      <c r="E7" s="18">
        <f>VLOOKUP(Knihovna!H28,Knihovna!A20:H26,6)</f>
        <v>500</v>
      </c>
      <c r="F7" s="18" t="s">
        <v>10</v>
      </c>
      <c r="G7" s="29" t="s">
        <v>83</v>
      </c>
      <c r="H7" s="18">
        <f>VLOOKUP(Knihovna!H28,Knihovna!A20:H26,6)</f>
        <v>500</v>
      </c>
      <c r="I7" s="30" t="s">
        <v>10</v>
      </c>
    </row>
    <row r="8" spans="1:9" ht="12.75">
      <c r="A8" s="29" t="s">
        <v>12</v>
      </c>
      <c r="B8" s="18">
        <f>VLOOKUP(Knihovna!E15,Knihovna!A5:K13,5)</f>
        <v>2.9</v>
      </c>
      <c r="C8" s="30" t="s">
        <v>10</v>
      </c>
      <c r="D8" s="9" t="s">
        <v>141</v>
      </c>
      <c r="E8" s="9">
        <f>VLOOKUP(Knihovna!H28,Knihovna!A20:H26,7)</f>
        <v>550</v>
      </c>
      <c r="F8" s="9" t="s">
        <v>10</v>
      </c>
      <c r="G8" s="45" t="s">
        <v>141</v>
      </c>
      <c r="H8" s="9">
        <f>VLOOKUP(Knihovna!H28,Knihovna!A20:H26,7)</f>
        <v>550</v>
      </c>
      <c r="I8" s="31" t="s">
        <v>10</v>
      </c>
    </row>
    <row r="9" spans="1:9" ht="12.75">
      <c r="A9" s="29" t="s">
        <v>15</v>
      </c>
      <c r="B9" s="18">
        <f>1000*(VLOOKUP(Knihovna!E15,Knihovna!A5:K13,8))</f>
        <v>32000</v>
      </c>
      <c r="C9" s="30" t="s">
        <v>10</v>
      </c>
      <c r="D9" s="29" t="s">
        <v>13</v>
      </c>
      <c r="E9" s="247">
        <v>200000</v>
      </c>
      <c r="F9" s="18" t="s">
        <v>10</v>
      </c>
      <c r="G9" s="29" t="s">
        <v>13</v>
      </c>
      <c r="H9" s="18">
        <f>E9</f>
        <v>200000</v>
      </c>
      <c r="I9" s="30" t="s">
        <v>10</v>
      </c>
    </row>
    <row r="10" spans="1:9" ht="12.75">
      <c r="A10" s="36" t="s">
        <v>138</v>
      </c>
      <c r="B10" s="9">
        <f>VLOOKUP(Knihovna!E15,Knihovna!A5:K13,11)</f>
        <v>0.51</v>
      </c>
      <c r="C10" s="30" t="s">
        <v>17</v>
      </c>
      <c r="D10" s="29" t="s">
        <v>99</v>
      </c>
      <c r="E10" s="18" t="str">
        <f>VLOOKUP(Knihovna!H28,Knihovna!A20:H26,4)</f>
        <v>8-36</v>
      </c>
      <c r="F10" s="18" t="s">
        <v>8</v>
      </c>
      <c r="G10" s="29" t="s">
        <v>99</v>
      </c>
      <c r="H10" s="18" t="str">
        <f>VLOOKUP(Knihovna!H28,Knihovna!A20:H26,4)</f>
        <v>8-36</v>
      </c>
      <c r="I10" s="30" t="s">
        <v>8</v>
      </c>
    </row>
    <row r="11" spans="1:9" ht="12.75">
      <c r="A11" s="37" t="s">
        <v>133</v>
      </c>
      <c r="B11" s="247">
        <v>1</v>
      </c>
      <c r="C11" s="30"/>
      <c r="D11" s="29" t="s">
        <v>98</v>
      </c>
      <c r="E11" s="18" t="str">
        <f>VLOOKUP(Knihovna!H28,Knihovna!A20:H26,5)</f>
        <v>žebírkový</v>
      </c>
      <c r="F11" s="18"/>
      <c r="G11" s="29" t="s">
        <v>98</v>
      </c>
      <c r="H11" s="18" t="str">
        <f>VLOOKUP(Knihovna!H28,Knihovna!A20:H26,5)</f>
        <v>žebírkový</v>
      </c>
      <c r="I11" s="30"/>
    </row>
    <row r="12" spans="1:9" ht="12.75">
      <c r="A12" s="37" t="s">
        <v>79</v>
      </c>
      <c r="B12" s="247">
        <v>1.5</v>
      </c>
      <c r="C12" s="30"/>
      <c r="D12" s="37" t="s">
        <v>80</v>
      </c>
      <c r="E12" s="247">
        <v>1.15</v>
      </c>
      <c r="F12" s="18"/>
      <c r="G12" s="37"/>
      <c r="H12" s="18"/>
      <c r="I12" s="30"/>
    </row>
    <row r="13" spans="1:9" ht="12.75">
      <c r="A13" s="29" t="s">
        <v>139</v>
      </c>
      <c r="B13" s="38">
        <f>FLOOR(B7/B12,0.01)</f>
        <v>20</v>
      </c>
      <c r="C13" s="39" t="s">
        <v>17</v>
      </c>
      <c r="D13" s="29" t="s">
        <v>82</v>
      </c>
      <c r="E13" s="38">
        <f>FLOOR(E7/E12,0.01)</f>
        <v>434.78000000000003</v>
      </c>
      <c r="F13" s="38" t="s">
        <v>17</v>
      </c>
      <c r="G13" s="29" t="s">
        <v>82</v>
      </c>
      <c r="H13" s="38">
        <f>FLOOR(H7/E12,0.01)</f>
        <v>434.78000000000003</v>
      </c>
      <c r="I13" s="39" t="s">
        <v>17</v>
      </c>
    </row>
    <row r="14" spans="1:9" ht="12.75">
      <c r="A14" s="37" t="s">
        <v>106</v>
      </c>
      <c r="B14" s="247">
        <v>0.0035</v>
      </c>
      <c r="C14" s="30"/>
      <c r="D14" s="37" t="s">
        <v>81</v>
      </c>
      <c r="E14" s="40">
        <f>E13/E9</f>
        <v>0.0021739000000000003</v>
      </c>
      <c r="F14" s="18"/>
      <c r="G14" s="37" t="s">
        <v>81</v>
      </c>
      <c r="H14" s="40">
        <f>H13/H9</f>
        <v>0.0021739000000000003</v>
      </c>
      <c r="I14" s="30"/>
    </row>
    <row r="15" spans="1:9" ht="12.75">
      <c r="A15" s="41"/>
      <c r="B15" s="16"/>
      <c r="C15" s="42"/>
      <c r="D15" s="41"/>
      <c r="E15" s="16"/>
      <c r="F15" s="16"/>
      <c r="G15" s="41"/>
      <c r="H15" s="16"/>
      <c r="I15" s="42"/>
    </row>
    <row r="16" spans="1:9" ht="12.75">
      <c r="A16" s="22" t="s">
        <v>5</v>
      </c>
      <c r="B16" s="34"/>
      <c r="C16" s="35"/>
      <c r="D16" s="68" t="s">
        <v>107</v>
      </c>
      <c r="E16" s="9"/>
      <c r="F16" s="9"/>
      <c r="G16" s="9"/>
      <c r="H16" s="9"/>
      <c r="I16" s="31"/>
    </row>
    <row r="17" spans="1:9" ht="12.75">
      <c r="A17" s="37" t="s">
        <v>349</v>
      </c>
      <c r="B17" s="247">
        <v>5</v>
      </c>
      <c r="C17" s="30" t="s">
        <v>8</v>
      </c>
      <c r="D17" s="9"/>
      <c r="E17" s="9"/>
      <c r="F17" s="9"/>
      <c r="G17" s="9"/>
      <c r="H17" s="9"/>
      <c r="I17" s="31"/>
    </row>
    <row r="18" spans="1:9" ht="12.75">
      <c r="A18" s="43" t="s">
        <v>11</v>
      </c>
      <c r="B18" s="247">
        <v>15</v>
      </c>
      <c r="C18" s="30" t="s">
        <v>8</v>
      </c>
      <c r="D18" s="9"/>
      <c r="E18" s="9"/>
      <c r="F18" s="9"/>
      <c r="G18" s="9"/>
      <c r="H18" s="9"/>
      <c r="I18" s="31"/>
    </row>
    <row r="19" spans="1:9" ht="12.75">
      <c r="A19" s="36" t="s">
        <v>347</v>
      </c>
      <c r="B19" s="247">
        <v>10</v>
      </c>
      <c r="C19" s="30" t="s">
        <v>8</v>
      </c>
      <c r="D19" s="9"/>
      <c r="E19" s="9"/>
      <c r="F19" s="9"/>
      <c r="G19" s="9"/>
      <c r="H19" s="9"/>
      <c r="I19" s="31"/>
    </row>
    <row r="20" spans="1:9" ht="12.75" customHeight="1">
      <c r="A20" s="69" t="s">
        <v>188</v>
      </c>
      <c r="B20" s="18">
        <f>B18+B17+B19</f>
        <v>30</v>
      </c>
      <c r="C20" s="30" t="s">
        <v>8</v>
      </c>
      <c r="D20" s="9"/>
      <c r="E20" s="9"/>
      <c r="F20" s="9"/>
      <c r="G20" s="9"/>
      <c r="H20" s="9"/>
      <c r="I20" s="31"/>
    </row>
    <row r="21" spans="1:9" ht="12.75">
      <c r="A21" s="29" t="s">
        <v>102</v>
      </c>
      <c r="B21" s="18">
        <f>B20+E2/2</f>
        <v>40</v>
      </c>
      <c r="C21" s="30" t="s">
        <v>8</v>
      </c>
      <c r="D21" s="9"/>
      <c r="E21" s="9"/>
      <c r="F21" s="9"/>
      <c r="G21" s="9"/>
      <c r="H21" s="9"/>
      <c r="I21" s="31"/>
    </row>
    <row r="22" spans="1:9" ht="12.75">
      <c r="A22" s="29" t="s">
        <v>103</v>
      </c>
      <c r="B22" s="18">
        <f>B20+E3/2</f>
        <v>40</v>
      </c>
      <c r="C22" s="31" t="s">
        <v>8</v>
      </c>
      <c r="D22" s="9"/>
      <c r="E22" s="9"/>
      <c r="F22" s="9"/>
      <c r="G22" s="9"/>
      <c r="H22" s="9"/>
      <c r="I22" s="31"/>
    </row>
    <row r="23" spans="1:9" ht="12.75">
      <c r="A23" s="29" t="s">
        <v>19</v>
      </c>
      <c r="B23" s="70">
        <f>B3-B21*0.001</f>
        <v>0.46</v>
      </c>
      <c r="C23" s="30" t="s">
        <v>18</v>
      </c>
      <c r="D23" s="9"/>
      <c r="E23" s="9"/>
      <c r="F23" s="9"/>
      <c r="G23" s="9"/>
      <c r="H23" s="9"/>
      <c r="I23" s="31"/>
    </row>
    <row r="24" spans="1:9" ht="12.75">
      <c r="A24" s="45" t="s">
        <v>168</v>
      </c>
      <c r="B24" s="9">
        <f>B3-B22*0.001</f>
        <v>0.46</v>
      </c>
      <c r="C24" s="31" t="s">
        <v>1</v>
      </c>
      <c r="D24" s="9"/>
      <c r="E24" s="9"/>
      <c r="F24" s="9"/>
      <c r="G24" s="9"/>
      <c r="H24" s="9"/>
      <c r="I24" s="31"/>
    </row>
    <row r="25" spans="1:9" ht="12.75">
      <c r="A25" s="45"/>
      <c r="B25" s="9"/>
      <c r="C25" s="31"/>
      <c r="D25" s="9"/>
      <c r="E25" s="9"/>
      <c r="F25" s="9"/>
      <c r="G25" s="9"/>
      <c r="H25" s="9"/>
      <c r="I25" s="31"/>
    </row>
    <row r="26" spans="1:9" ht="12.75">
      <c r="A26" s="45"/>
      <c r="B26" s="9"/>
      <c r="C26" s="31"/>
      <c r="D26" s="9"/>
      <c r="E26" s="9"/>
      <c r="F26" s="9"/>
      <c r="G26" s="9"/>
      <c r="H26" s="9"/>
      <c r="I26" s="31"/>
    </row>
    <row r="27" spans="1:9" ht="12.75">
      <c r="A27" s="45"/>
      <c r="B27" s="9"/>
      <c r="C27" s="31"/>
      <c r="D27" s="9"/>
      <c r="E27" s="9"/>
      <c r="F27" s="9"/>
      <c r="G27" s="9"/>
      <c r="H27" s="9"/>
      <c r="I27" s="31"/>
    </row>
    <row r="28" spans="1:9" ht="12.75">
      <c r="A28" s="32"/>
      <c r="B28" s="3"/>
      <c r="C28" s="33"/>
      <c r="D28" s="3"/>
      <c r="E28" s="3"/>
      <c r="F28" s="3"/>
      <c r="G28" s="3"/>
      <c r="H28" s="3"/>
      <c r="I28" s="33"/>
    </row>
    <row r="29" spans="1:9" ht="12.75">
      <c r="A29" s="46" t="s">
        <v>156</v>
      </c>
      <c r="B29" s="9"/>
      <c r="C29" s="9"/>
      <c r="D29" s="9"/>
      <c r="E29" s="9"/>
      <c r="F29" s="9"/>
      <c r="G29" s="9"/>
      <c r="H29" s="9"/>
      <c r="I29" s="31"/>
    </row>
    <row r="30" spans="1:9" ht="12.75">
      <c r="A30" s="36" t="s">
        <v>172</v>
      </c>
      <c r="B30" s="9">
        <f>IF(E13&lt;400,E13,400)</f>
        <v>400</v>
      </c>
      <c r="C30" s="9" t="s">
        <v>17</v>
      </c>
      <c r="D30" s="9"/>
      <c r="E30" s="9" t="s">
        <v>169</v>
      </c>
      <c r="F30" s="9">
        <f>(H2*E13)*0.001</f>
        <v>546.3619392</v>
      </c>
      <c r="G30" s="9" t="s">
        <v>132</v>
      </c>
      <c r="H30" s="9"/>
      <c r="I30" s="31"/>
    </row>
    <row r="31" spans="1:9" ht="12.75">
      <c r="A31" s="36" t="s">
        <v>173</v>
      </c>
      <c r="B31" s="9">
        <f>700/(700+E13)</f>
        <v>0.6168596556160666</v>
      </c>
      <c r="C31" s="9" t="s">
        <v>120</v>
      </c>
      <c r="D31" s="9"/>
      <c r="E31" s="71" t="s">
        <v>170</v>
      </c>
      <c r="F31" s="9">
        <f>(H3*H13)*0.001</f>
        <v>273.1809696</v>
      </c>
      <c r="G31" s="9" t="s">
        <v>132</v>
      </c>
      <c r="H31" s="9"/>
      <c r="I31" s="31"/>
    </row>
    <row r="32" spans="1:9" ht="12.75">
      <c r="A32" s="36" t="s">
        <v>174</v>
      </c>
      <c r="B32" s="9">
        <f>700/(700-E13)</f>
        <v>2.639318301787196</v>
      </c>
      <c r="C32" s="9" t="s">
        <v>120</v>
      </c>
      <c r="D32" s="9"/>
      <c r="E32" s="48" t="s">
        <v>171</v>
      </c>
      <c r="F32" s="9">
        <f>F31-F30</f>
        <v>-273.1809696</v>
      </c>
      <c r="G32" s="9" t="s">
        <v>132</v>
      </c>
      <c r="H32" s="9"/>
      <c r="I32" s="31"/>
    </row>
    <row r="33" spans="1:9" ht="12.75">
      <c r="A33" s="36" t="s">
        <v>175</v>
      </c>
      <c r="B33" s="9">
        <f>(H2+H3)/(B2*1000*B3*1000)</f>
        <v>0.012566399999999998</v>
      </c>
      <c r="C33" s="9" t="s">
        <v>72</v>
      </c>
      <c r="D33" s="9"/>
      <c r="E33" s="48" t="s">
        <v>181</v>
      </c>
      <c r="F33" s="9">
        <f>B32*B22*0.001</f>
        <v>0.10557273207148783</v>
      </c>
      <c r="G33" s="9" t="s">
        <v>120</v>
      </c>
      <c r="H33" s="9"/>
      <c r="I33" s="31"/>
    </row>
    <row r="34" spans="1:9" ht="12.75">
      <c r="A34" s="45" t="s">
        <v>176</v>
      </c>
      <c r="B34" s="9">
        <f>B3/2-B21*0.001</f>
        <v>0.21</v>
      </c>
      <c r="C34" s="9" t="s">
        <v>1</v>
      </c>
      <c r="D34" s="9"/>
      <c r="E34" s="48" t="s">
        <v>185</v>
      </c>
      <c r="F34" s="9">
        <f>B32*B21*0.001</f>
        <v>0.10557273207148783</v>
      </c>
      <c r="G34" s="9" t="s">
        <v>120</v>
      </c>
      <c r="H34" s="9"/>
      <c r="I34" s="31"/>
    </row>
    <row r="35" spans="1:9" ht="12.75">
      <c r="A35" s="45" t="s">
        <v>177</v>
      </c>
      <c r="B35" s="9">
        <f>B3/2-B22*0.001</f>
        <v>0.21</v>
      </c>
      <c r="C35" s="9" t="s">
        <v>1</v>
      </c>
      <c r="D35" s="9"/>
      <c r="E35" s="48" t="s">
        <v>183</v>
      </c>
      <c r="F35" s="9">
        <f>B31*B23</f>
        <v>0.28375544158339067</v>
      </c>
      <c r="G35" s="9" t="s">
        <v>120</v>
      </c>
      <c r="H35" s="9"/>
      <c r="I35" s="31"/>
    </row>
    <row r="36" spans="1:9" ht="12.75">
      <c r="A36" s="32" t="s">
        <v>178</v>
      </c>
      <c r="B36" s="3">
        <f>B34+B35</f>
        <v>0.42</v>
      </c>
      <c r="C36" s="3" t="s">
        <v>1</v>
      </c>
      <c r="D36" s="3"/>
      <c r="E36" s="72" t="s">
        <v>184</v>
      </c>
      <c r="F36" s="3">
        <f>B31*B24</f>
        <v>0.28375544158339067</v>
      </c>
      <c r="G36" s="3" t="s">
        <v>120</v>
      </c>
      <c r="H36" s="3"/>
      <c r="I36" s="33"/>
    </row>
    <row r="37" ht="12.75"/>
    <row r="38" spans="1:9" ht="12.75">
      <c r="A38" s="46" t="s">
        <v>73</v>
      </c>
      <c r="B38" s="27" t="s">
        <v>179</v>
      </c>
      <c r="C38" s="27" t="s">
        <v>180</v>
      </c>
      <c r="D38" s="27"/>
      <c r="E38" s="27"/>
      <c r="F38" s="27"/>
      <c r="G38" s="27"/>
      <c r="H38" s="27"/>
      <c r="I38" s="28"/>
    </row>
    <row r="39" spans="1:9" ht="12.75">
      <c r="A39" s="45">
        <v>0</v>
      </c>
      <c r="B39" s="73">
        <f>-(B2*B3*B11*(B13*1000)+(H2+H3)*0.000001*(B30*1000))</f>
        <v>-3753.984</v>
      </c>
      <c r="C39" s="73">
        <f>(H3*0.000001*B35-H2*0.000001*B34)*B30*1000</f>
        <v>-52.778879999999994</v>
      </c>
      <c r="D39" s="9"/>
      <c r="E39" s="9"/>
      <c r="F39" s="9"/>
      <c r="G39" s="9"/>
      <c r="H39" s="9"/>
      <c r="I39" s="31"/>
    </row>
    <row r="40" spans="1:9" ht="12.75">
      <c r="A40" s="45">
        <v>1</v>
      </c>
      <c r="B40" s="73">
        <f>-(0.8*B2*B23*B11*B13*1000+F31)</f>
        <v>-2481.1809696</v>
      </c>
      <c r="C40" s="73">
        <f>0.8*B2*B23*B11*B13*1000*(0.5*B3-0.4*B23)+F31*B35</f>
        <v>203.09600361599996</v>
      </c>
      <c r="D40" s="9"/>
      <c r="E40" s="9"/>
      <c r="F40" s="9" t="s">
        <v>182</v>
      </c>
      <c r="G40" s="49" t="b">
        <f>IF(B23&gt;F33,TRUE,FALSE)</f>
        <v>1</v>
      </c>
      <c r="H40" s="9"/>
      <c r="I40" s="31"/>
    </row>
    <row r="41" spans="1:9" ht="12.75">
      <c r="A41" s="45">
        <v>2</v>
      </c>
      <c r="B41" s="73">
        <f>-(0.8*B31*B2*B23*B11*B13*1000+F32)</f>
        <v>-1088.845150000275</v>
      </c>
      <c r="C41" s="73">
        <f>0.8*B31*B2*B23*B11*B13*1000*(0.5*B3-0.4*B31*B23)+F31*B35+F30*B34</f>
        <v>358.01761154195356</v>
      </c>
      <c r="D41" s="9"/>
      <c r="E41" s="9"/>
      <c r="F41" s="48" t="s">
        <v>186</v>
      </c>
      <c r="G41" s="49" t="b">
        <f>IF(F35&gt;=F33,TRUE,FALSE)</f>
        <v>1</v>
      </c>
      <c r="H41" s="9"/>
      <c r="I41" s="31"/>
    </row>
    <row r="42" spans="1:9" ht="12.75">
      <c r="A42" s="45">
        <v>3</v>
      </c>
      <c r="B42" s="249">
        <v>0</v>
      </c>
      <c r="C42" s="249">
        <v>228.8080700625256</v>
      </c>
      <c r="D42" s="75" t="s">
        <v>192</v>
      </c>
      <c r="E42" s="9"/>
      <c r="F42" s="48"/>
      <c r="G42" s="9"/>
      <c r="H42" s="9"/>
      <c r="I42" s="31"/>
    </row>
    <row r="43" spans="1:9" ht="12.75">
      <c r="A43" s="45">
        <v>4</v>
      </c>
      <c r="B43" s="73">
        <f>F30</f>
        <v>546.3619392</v>
      </c>
      <c r="C43" s="73">
        <f>F30*B34</f>
        <v>114.736007232</v>
      </c>
      <c r="D43" s="9"/>
      <c r="E43" s="9"/>
      <c r="F43" s="9"/>
      <c r="G43" s="9"/>
      <c r="H43" s="9"/>
      <c r="I43" s="31"/>
    </row>
    <row r="44" spans="1:9" ht="12.75">
      <c r="A44" s="45">
        <v>5</v>
      </c>
      <c r="B44" s="73">
        <f>F30+F31</f>
        <v>819.5429088000001</v>
      </c>
      <c r="C44" s="73">
        <f>F30*B34-F31*B35</f>
        <v>57.368003616</v>
      </c>
      <c r="D44" s="9"/>
      <c r="E44" s="9"/>
      <c r="F44" s="9"/>
      <c r="G44" s="9"/>
      <c r="H44" s="9"/>
      <c r="I44" s="31"/>
    </row>
    <row r="45" spans="1:9" ht="12.75">
      <c r="A45" s="76" t="s">
        <v>74</v>
      </c>
      <c r="B45" s="73">
        <f>F31</f>
        <v>273.1809696</v>
      </c>
      <c r="C45" s="73">
        <f>-F31*B35</f>
        <v>-57.368003616</v>
      </c>
      <c r="D45" s="9"/>
      <c r="E45" s="9"/>
      <c r="F45" s="9"/>
      <c r="G45" s="9"/>
      <c r="H45" s="9"/>
      <c r="I45" s="31"/>
    </row>
    <row r="46" spans="1:9" ht="12.75">
      <c r="A46" s="76" t="s">
        <v>75</v>
      </c>
      <c r="B46" s="249">
        <v>0</v>
      </c>
      <c r="C46" s="249">
        <v>-117.145982544521</v>
      </c>
      <c r="D46" s="75" t="s">
        <v>192</v>
      </c>
      <c r="E46" s="9"/>
      <c r="F46" s="48"/>
      <c r="G46" s="9"/>
      <c r="H46" s="9"/>
      <c r="I46" s="31"/>
    </row>
    <row r="47" spans="1:9" ht="12.75">
      <c r="A47" s="76" t="s">
        <v>76</v>
      </c>
      <c r="B47" s="73">
        <f>-(0.8*B31*B2*B24*B11*B13*1000-F32)</f>
        <v>-1635.207089200275</v>
      </c>
      <c r="C47" s="73">
        <f>-0.8*B31*B2*B24*B11*B13*1000*(0.5*B3-0.4*B31*B24)-F31*B35-F30*B34</f>
        <v>-358.01761154195356</v>
      </c>
      <c r="D47" s="9"/>
      <c r="E47" s="9"/>
      <c r="F47" s="48" t="s">
        <v>187</v>
      </c>
      <c r="G47" s="49" t="b">
        <f>IF(F36&gt;=F34,TRUE,FALSE)</f>
        <v>1</v>
      </c>
      <c r="H47" s="9"/>
      <c r="I47" s="31"/>
    </row>
    <row r="48" spans="1:9" ht="12.75">
      <c r="A48" s="76" t="s">
        <v>77</v>
      </c>
      <c r="B48" s="73">
        <f>-(0.8*B2*B24*B11*B13*1000+F30)</f>
        <v>-2754.3619392</v>
      </c>
      <c r="C48" s="73">
        <f>-0.8*B2*B24*B11*B13*1000*(0.5*B3-0.4*B24)-F30*B34</f>
        <v>-260.464007232</v>
      </c>
      <c r="D48" s="9"/>
      <c r="E48" s="9"/>
      <c r="F48" s="9"/>
      <c r="G48" s="9"/>
      <c r="H48" s="9"/>
      <c r="I48" s="31"/>
    </row>
    <row r="49" spans="1:9" ht="12.75">
      <c r="A49" s="45">
        <v>0</v>
      </c>
      <c r="B49" s="73">
        <f>B39</f>
        <v>-3753.984</v>
      </c>
      <c r="C49" s="73">
        <f>C39</f>
        <v>-52.778879999999994</v>
      </c>
      <c r="D49" s="9"/>
      <c r="E49" s="9"/>
      <c r="F49" s="9"/>
      <c r="G49" s="9"/>
      <c r="I49" s="31"/>
    </row>
    <row r="50" spans="1:9" ht="12.75">
      <c r="A50" s="76" t="s">
        <v>78</v>
      </c>
      <c r="B50" s="73">
        <f>-(0.8*B2*B3*B11*B13*1000+(H2+H3)*0.000001*B30*1000)</f>
        <v>-3153.984</v>
      </c>
      <c r="C50" s="74">
        <v>0</v>
      </c>
      <c r="D50" s="9"/>
      <c r="E50" s="9"/>
      <c r="F50" s="9"/>
      <c r="G50" s="9"/>
      <c r="I50" s="31"/>
    </row>
    <row r="51" spans="1:9" ht="12.75">
      <c r="A51" s="32"/>
      <c r="B51" s="3"/>
      <c r="C51" s="3"/>
      <c r="D51" s="3"/>
      <c r="E51" s="3"/>
      <c r="F51" s="3"/>
      <c r="G51" s="3"/>
      <c r="H51" s="3"/>
      <c r="I51" s="33"/>
    </row>
    <row r="52" spans="1:9" ht="12.75">
      <c r="A52" s="1" t="s">
        <v>360</v>
      </c>
      <c r="I52" s="65">
        <f ca="1">TODAY()</f>
        <v>39963</v>
      </c>
    </row>
    <row r="53" spans="1:9" ht="12.75">
      <c r="A53" s="1" t="s">
        <v>393</v>
      </c>
      <c r="D53" s="77"/>
      <c r="I53" s="67" t="s">
        <v>371</v>
      </c>
    </row>
    <row r="54" spans="1:4" ht="12.75">
      <c r="A54" s="78"/>
      <c r="D54" s="77"/>
    </row>
  </sheetData>
  <hyperlinks>
    <hyperlink ref="D42" location="'M-posouzení'!A1" display="'M-posouzení'!A1"/>
    <hyperlink ref="D46" location="'M-posouzení'!A1" display="'M-posouzení'!A1"/>
    <hyperlink ref="I53" r:id="rId1" display="http://www.pro-eng.com/"/>
  </hyperlinks>
  <printOptions horizontalCentered="1"/>
  <pageMargins left="0.3937007874015748" right="0.3937007874015748" top="0.984251968503937" bottom="0.7874015748031497" header="0.5118110236220472" footer="0.5118110236220472"/>
  <pageSetup blackAndWhite="1" fitToHeight="0" fitToWidth="1" horizontalDpi="240" verticalDpi="240" orientation="portrait" paperSize="9" scale="96" r:id="rId5"/>
  <headerFooter alignWithMargins="0">
    <oddHeader>&amp;CPosouzení betonových prvků dle EuroCode 2</oddHeader>
  </headerFooter>
  <rowBreaks count="1" manualBreakCount="1">
    <brk id="54" max="255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9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16.57421875" style="1" customWidth="1"/>
    <col min="2" max="2" width="11.00390625" style="1" customWidth="1"/>
    <col min="3" max="3" width="9.140625" style="1" customWidth="1"/>
    <col min="4" max="4" width="10.8515625" style="1" customWidth="1"/>
    <col min="5" max="5" width="10.28125" style="1" customWidth="1"/>
    <col min="6" max="6" width="9.57421875" style="1" customWidth="1"/>
    <col min="7" max="7" width="9.140625" style="1" customWidth="1"/>
    <col min="8" max="8" width="11.421875" style="1" customWidth="1"/>
    <col min="9" max="9" width="9.7109375" style="1" customWidth="1"/>
    <col min="10" max="16384" width="9.140625" style="1" customWidth="1"/>
  </cols>
  <sheetData>
    <row r="1" spans="1:9" ht="13.5" thickBot="1">
      <c r="A1" s="22" t="s">
        <v>84</v>
      </c>
      <c r="B1" s="23"/>
      <c r="C1" s="24"/>
      <c r="D1" s="25" t="s">
        <v>85</v>
      </c>
      <c r="E1" s="26" t="s">
        <v>100</v>
      </c>
      <c r="F1" s="27" t="s">
        <v>101</v>
      </c>
      <c r="G1" s="27"/>
      <c r="H1" s="264" t="s">
        <v>364</v>
      </c>
      <c r="I1" s="265" t="s">
        <v>365</v>
      </c>
    </row>
    <row r="2" spans="1:9" ht="13.5" thickBot="1">
      <c r="A2" s="29" t="s">
        <v>0</v>
      </c>
      <c r="B2" s="245">
        <v>0.3</v>
      </c>
      <c r="C2" s="30" t="s">
        <v>1</v>
      </c>
      <c r="D2" s="9" t="s">
        <v>96</v>
      </c>
      <c r="E2" s="9">
        <f>VLOOKUP(Knihovna!E52,Knihovna!A33:B50,2)</f>
        <v>12</v>
      </c>
      <c r="F2" s="246">
        <v>6</v>
      </c>
      <c r="G2" s="9" t="s">
        <v>86</v>
      </c>
      <c r="H2" s="9">
        <f>F2*0.7854*E2^2</f>
        <v>678.5856</v>
      </c>
      <c r="I2" s="31" t="s">
        <v>88</v>
      </c>
    </row>
    <row r="3" spans="1:9" ht="13.5" thickBot="1">
      <c r="A3" s="29" t="s">
        <v>2</v>
      </c>
      <c r="B3" s="245">
        <v>0.5</v>
      </c>
      <c r="C3" s="30" t="s">
        <v>1</v>
      </c>
      <c r="D3" s="9" t="s">
        <v>97</v>
      </c>
      <c r="E3" s="9" t="s">
        <v>166</v>
      </c>
      <c r="F3" s="9"/>
      <c r="G3" s="9"/>
      <c r="H3" s="9"/>
      <c r="I3" s="31"/>
    </row>
    <row r="4" spans="1:9" ht="12.75">
      <c r="A4" s="32"/>
      <c r="B4" s="3"/>
      <c r="C4" s="33"/>
      <c r="D4" s="3"/>
      <c r="E4" s="3"/>
      <c r="F4" s="3"/>
      <c r="G4" s="3"/>
      <c r="H4" s="3"/>
      <c r="I4" s="33"/>
    </row>
    <row r="5" spans="1:9" ht="12.75">
      <c r="A5" s="22" t="s">
        <v>3</v>
      </c>
      <c r="B5" s="34"/>
      <c r="C5" s="35"/>
      <c r="D5" s="22" t="s">
        <v>104</v>
      </c>
      <c r="E5" s="34"/>
      <c r="F5" s="35"/>
      <c r="G5" s="46" t="s">
        <v>142</v>
      </c>
      <c r="H5" s="27"/>
      <c r="I5" s="28"/>
    </row>
    <row r="6" spans="1:9" ht="12.75">
      <c r="A6" s="29" t="s">
        <v>6</v>
      </c>
      <c r="B6" s="18"/>
      <c r="C6" s="30"/>
      <c r="D6" s="29" t="s">
        <v>7</v>
      </c>
      <c r="E6" s="18"/>
      <c r="F6" s="30" t="str">
        <f>VLOOKUP(Knihovna!C28,Knihovna!A20:H26,3)</f>
        <v>R</v>
      </c>
      <c r="G6" s="45" t="s">
        <v>7</v>
      </c>
      <c r="H6" s="9"/>
      <c r="I6" s="31" t="str">
        <f>VLOOKUP(Knihovna!G28,Knihovna!A20:H26,3)</f>
        <v>R</v>
      </c>
    </row>
    <row r="7" spans="1:9" ht="12.75">
      <c r="A7" s="29" t="s">
        <v>9</v>
      </c>
      <c r="B7" s="18">
        <f>VLOOKUP(Knihovna!D15,Knihovna!A5:K13,3)</f>
        <v>20</v>
      </c>
      <c r="C7" s="30" t="s">
        <v>10</v>
      </c>
      <c r="D7" s="29" t="s">
        <v>83</v>
      </c>
      <c r="E7" s="18">
        <f>VLOOKUP(Knihovna!E28,Knihovna!A20:H26,6)</f>
        <v>500</v>
      </c>
      <c r="F7" s="30" t="s">
        <v>10</v>
      </c>
      <c r="G7" s="45" t="s">
        <v>144</v>
      </c>
      <c r="H7" s="9">
        <f>VLOOKUP(Knihovna!G28,Knihovna!A20:H26,6)</f>
        <v>500</v>
      </c>
      <c r="I7" s="31" t="s">
        <v>17</v>
      </c>
    </row>
    <row r="8" spans="1:9" ht="12.75">
      <c r="A8" s="29" t="s">
        <v>12</v>
      </c>
      <c r="B8" s="18">
        <f>VLOOKUP(Knihovna!D15,Knihovna!A5:K13,5)</f>
        <v>2.2</v>
      </c>
      <c r="C8" s="30" t="s">
        <v>10</v>
      </c>
      <c r="D8" s="9" t="s">
        <v>141</v>
      </c>
      <c r="E8" s="9">
        <f>VLOOKUP(Knihovna!E28,Knihovna!A20:H26,7)</f>
        <v>550</v>
      </c>
      <c r="F8" s="31" t="s">
        <v>10</v>
      </c>
      <c r="G8" s="45" t="s">
        <v>147</v>
      </c>
      <c r="H8" s="79">
        <f>FLOOR(H7/E12,0.01)</f>
        <v>434.78000000000003</v>
      </c>
      <c r="I8" s="80" t="s">
        <v>17</v>
      </c>
    </row>
    <row r="9" spans="1:9" ht="12.75">
      <c r="A9" s="29" t="s">
        <v>15</v>
      </c>
      <c r="B9" s="18">
        <f>1000*(VLOOKUP(Knihovna!D15,Knihovna!A5:K13,8))</f>
        <v>29000</v>
      </c>
      <c r="C9" s="30" t="s">
        <v>16</v>
      </c>
      <c r="D9" s="29" t="s">
        <v>13</v>
      </c>
      <c r="E9" s="247">
        <v>200000</v>
      </c>
      <c r="F9" s="30" t="s">
        <v>10</v>
      </c>
      <c r="G9" s="36" t="s">
        <v>134</v>
      </c>
      <c r="H9" s="81">
        <f>VLOOKUP(Knihovna!G52,Knihovna!A33:B50,2)</f>
        <v>10</v>
      </c>
      <c r="I9" s="82" t="s">
        <v>8</v>
      </c>
    </row>
    <row r="10" spans="1:9" ht="13.5" thickBot="1">
      <c r="A10" s="36" t="s">
        <v>138</v>
      </c>
      <c r="B10" s="9">
        <f>VLOOKUP(Knihovna!D15,Knihovna!A5:K13,11)</f>
        <v>0.39</v>
      </c>
      <c r="C10" s="30" t="s">
        <v>17</v>
      </c>
      <c r="D10" s="29" t="s">
        <v>99</v>
      </c>
      <c r="E10" s="18" t="str">
        <f>VLOOKUP(Knihovna!E28,Knihovna!A20:H26,4)</f>
        <v>8-36</v>
      </c>
      <c r="F10" s="30" t="s">
        <v>8</v>
      </c>
      <c r="G10" s="45" t="s">
        <v>146</v>
      </c>
      <c r="H10" s="248">
        <v>2</v>
      </c>
      <c r="I10" s="31"/>
    </row>
    <row r="11" spans="1:9" ht="13.5" thickBot="1">
      <c r="A11" s="37" t="s">
        <v>133</v>
      </c>
      <c r="B11" s="247">
        <v>1</v>
      </c>
      <c r="C11" s="30"/>
      <c r="D11" s="29" t="s">
        <v>98</v>
      </c>
      <c r="E11" s="18" t="str">
        <f>VLOOKUP(Knihovna!E28,Knihovna!A20:H26,5)</f>
        <v>žebírkový</v>
      </c>
      <c r="F11" s="30"/>
      <c r="G11" s="45" t="s">
        <v>145</v>
      </c>
      <c r="H11" s="246">
        <v>300</v>
      </c>
      <c r="I11" s="31" t="s">
        <v>8</v>
      </c>
    </row>
    <row r="12" spans="1:9" ht="12.75">
      <c r="A12" s="37" t="s">
        <v>79</v>
      </c>
      <c r="B12" s="247">
        <v>1.5</v>
      </c>
      <c r="C12" s="30"/>
      <c r="D12" s="37" t="s">
        <v>80</v>
      </c>
      <c r="E12" s="247">
        <v>1.15</v>
      </c>
      <c r="F12" s="30"/>
      <c r="G12" s="45" t="s">
        <v>148</v>
      </c>
      <c r="H12" s="9">
        <f>H10*(0.7854*H9^2)</f>
        <v>157.07999999999998</v>
      </c>
      <c r="I12" s="31" t="s">
        <v>88</v>
      </c>
    </row>
    <row r="13" spans="1:9" ht="12.75">
      <c r="A13" s="29" t="s">
        <v>139</v>
      </c>
      <c r="B13" s="38">
        <f>FLOOR(B7/B12,0.01)</f>
        <v>13.33</v>
      </c>
      <c r="C13" s="39" t="s">
        <v>17</v>
      </c>
      <c r="D13" s="29" t="s">
        <v>82</v>
      </c>
      <c r="E13" s="38">
        <f>FLOOR(E7/E12,0.01)</f>
        <v>434.78000000000003</v>
      </c>
      <c r="F13" s="39" t="s">
        <v>17</v>
      </c>
      <c r="G13" s="45" t="s">
        <v>149</v>
      </c>
      <c r="H13" s="73">
        <f>(H12*H8*(0.9*B23*1000)/H11)*0.001</f>
        <v>95.06697742079999</v>
      </c>
      <c r="I13" s="31" t="s">
        <v>132</v>
      </c>
    </row>
    <row r="14" spans="1:9" ht="12.75">
      <c r="A14" s="37" t="s">
        <v>106</v>
      </c>
      <c r="B14" s="247">
        <v>0.0035</v>
      </c>
      <c r="C14" s="30"/>
      <c r="D14" s="37" t="s">
        <v>81</v>
      </c>
      <c r="E14" s="40">
        <f>E13/E9</f>
        <v>0.0021739000000000003</v>
      </c>
      <c r="F14" s="30"/>
      <c r="G14" s="37"/>
      <c r="H14" s="40"/>
      <c r="I14" s="30"/>
    </row>
    <row r="15" spans="1:9" ht="12.75">
      <c r="A15" s="41"/>
      <c r="B15" s="16"/>
      <c r="C15" s="42"/>
      <c r="D15" s="41"/>
      <c r="E15" s="16"/>
      <c r="F15" s="42"/>
      <c r="G15" s="41"/>
      <c r="H15" s="16"/>
      <c r="I15" s="42"/>
    </row>
    <row r="16" spans="1:9" ht="12.75">
      <c r="A16" s="22" t="s">
        <v>5</v>
      </c>
      <c r="B16" s="34"/>
      <c r="C16" s="35"/>
      <c r="D16" s="68" t="s">
        <v>107</v>
      </c>
      <c r="E16" s="9"/>
      <c r="F16" s="9"/>
      <c r="G16" s="9"/>
      <c r="H16" s="9"/>
      <c r="I16" s="31"/>
    </row>
    <row r="17" spans="1:11" ht="12.75">
      <c r="A17" s="37" t="s">
        <v>349</v>
      </c>
      <c r="B17" s="247">
        <v>5</v>
      </c>
      <c r="C17" s="30" t="s">
        <v>8</v>
      </c>
      <c r="D17" s="9"/>
      <c r="E17" s="9"/>
      <c r="F17" s="9"/>
      <c r="G17" s="9"/>
      <c r="H17" s="9"/>
      <c r="I17" s="31"/>
      <c r="K17" s="83"/>
    </row>
    <row r="18" spans="1:9" ht="12.75">
      <c r="A18" s="43" t="s">
        <v>11</v>
      </c>
      <c r="B18" s="247">
        <v>15</v>
      </c>
      <c r="C18" s="30" t="s">
        <v>8</v>
      </c>
      <c r="D18" s="9"/>
      <c r="E18" s="9"/>
      <c r="F18" s="9"/>
      <c r="G18" s="9"/>
      <c r="H18" s="9"/>
      <c r="I18" s="31"/>
    </row>
    <row r="19" spans="1:9" ht="12.75">
      <c r="A19" s="36" t="s">
        <v>347</v>
      </c>
      <c r="B19" s="84">
        <f>H9</f>
        <v>10</v>
      </c>
      <c r="C19" s="82" t="s">
        <v>8</v>
      </c>
      <c r="D19" s="9"/>
      <c r="E19" s="9"/>
      <c r="F19" s="9"/>
      <c r="G19" s="9"/>
      <c r="H19" s="9"/>
      <c r="I19" s="31"/>
    </row>
    <row r="20" spans="1:9" ht="12.75">
      <c r="A20" s="29" t="s">
        <v>140</v>
      </c>
      <c r="B20" s="18">
        <f>B18+B17+B19</f>
        <v>30</v>
      </c>
      <c r="C20" s="30" t="s">
        <v>8</v>
      </c>
      <c r="D20" s="9"/>
      <c r="E20" s="9"/>
      <c r="F20" s="9"/>
      <c r="G20" s="9"/>
      <c r="H20" s="9"/>
      <c r="I20" s="31"/>
    </row>
    <row r="21" spans="1:9" ht="12.75">
      <c r="A21" s="29" t="s">
        <v>102</v>
      </c>
      <c r="B21" s="18">
        <f>B20+E2/2</f>
        <v>36</v>
      </c>
      <c r="C21" s="30" t="s">
        <v>8</v>
      </c>
      <c r="D21" s="9"/>
      <c r="E21" s="9"/>
      <c r="F21" s="9"/>
      <c r="G21" s="9"/>
      <c r="H21" s="9"/>
      <c r="I21" s="31"/>
    </row>
    <row r="22" spans="1:9" ht="12.75">
      <c r="A22" s="29"/>
      <c r="B22" s="18"/>
      <c r="C22" s="31"/>
      <c r="D22" s="9"/>
      <c r="E22" s="9"/>
      <c r="F22" s="9"/>
      <c r="G22" s="9"/>
      <c r="H22" s="9"/>
      <c r="I22" s="31"/>
    </row>
    <row r="23" spans="1:9" ht="12.75">
      <c r="A23" s="29" t="s">
        <v>19</v>
      </c>
      <c r="B23" s="70">
        <f>B3-B21*0.001</f>
        <v>0.46399999999999997</v>
      </c>
      <c r="C23" s="30" t="s">
        <v>18</v>
      </c>
      <c r="D23" s="9"/>
      <c r="E23" s="9"/>
      <c r="F23" s="9"/>
      <c r="G23" s="9"/>
      <c r="H23" s="9"/>
      <c r="I23" s="31"/>
    </row>
    <row r="24" spans="1:9" ht="12.75">
      <c r="A24" s="45"/>
      <c r="B24" s="9"/>
      <c r="C24" s="31"/>
      <c r="D24" s="9"/>
      <c r="E24" s="9"/>
      <c r="F24" s="9"/>
      <c r="G24" s="9"/>
      <c r="H24" s="9"/>
      <c r="I24" s="31"/>
    </row>
    <row r="25" spans="1:9" ht="12.75">
      <c r="A25" s="45"/>
      <c r="B25" s="9"/>
      <c r="C25" s="31"/>
      <c r="D25" s="9"/>
      <c r="E25" s="9"/>
      <c r="F25" s="9"/>
      <c r="G25" s="9"/>
      <c r="H25" s="9"/>
      <c r="I25" s="31"/>
    </row>
    <row r="26" spans="1:9" ht="12.75">
      <c r="A26" s="45"/>
      <c r="B26" s="9"/>
      <c r="C26" s="31"/>
      <c r="D26" s="9"/>
      <c r="E26" s="9"/>
      <c r="F26" s="9"/>
      <c r="G26" s="9"/>
      <c r="H26" s="9"/>
      <c r="I26" s="31"/>
    </row>
    <row r="27" spans="1:9" ht="12.75">
      <c r="A27" s="45"/>
      <c r="B27" s="9"/>
      <c r="C27" s="31"/>
      <c r="D27" s="9"/>
      <c r="E27" s="9"/>
      <c r="F27" s="9"/>
      <c r="G27" s="9"/>
      <c r="H27" s="9"/>
      <c r="I27" s="31"/>
    </row>
    <row r="28" spans="1:9" ht="12.75">
      <c r="A28" s="32"/>
      <c r="B28" s="3"/>
      <c r="C28" s="33"/>
      <c r="D28" s="3"/>
      <c r="E28" s="3"/>
      <c r="F28" s="3"/>
      <c r="G28" s="3"/>
      <c r="H28" s="3"/>
      <c r="I28" s="33"/>
    </row>
    <row r="29" spans="1:9" ht="12.75">
      <c r="A29" s="46" t="s">
        <v>156</v>
      </c>
      <c r="B29" s="27"/>
      <c r="C29" s="27"/>
      <c r="D29" s="27"/>
      <c r="E29" s="27"/>
      <c r="F29" s="27"/>
      <c r="G29" s="27"/>
      <c r="H29" s="27"/>
      <c r="I29" s="28"/>
    </row>
    <row r="30" spans="1:9" ht="12.75">
      <c r="A30" s="36" t="s">
        <v>159</v>
      </c>
      <c r="B30" s="250">
        <v>1</v>
      </c>
      <c r="C30" s="9"/>
      <c r="D30" s="9"/>
      <c r="E30" s="9"/>
      <c r="F30" s="9"/>
      <c r="G30" s="9"/>
      <c r="H30" s="9"/>
      <c r="I30" s="31"/>
    </row>
    <row r="31" spans="1:9" ht="12.75">
      <c r="A31" s="45" t="s">
        <v>22</v>
      </c>
      <c r="B31" s="9">
        <f>1.6-B23</f>
        <v>1.1360000000000001</v>
      </c>
      <c r="C31" s="9"/>
      <c r="D31" s="9"/>
      <c r="E31" s="9"/>
      <c r="F31" s="9"/>
      <c r="G31" s="9"/>
      <c r="H31" s="9"/>
      <c r="I31" s="31"/>
    </row>
    <row r="32" spans="1:9" ht="12.75">
      <c r="A32" s="36" t="s">
        <v>160</v>
      </c>
      <c r="B32" s="9">
        <f>H2*0.000001/(B2*B23)</f>
        <v>0.004874896551724138</v>
      </c>
      <c r="C32" s="9"/>
      <c r="D32" s="9"/>
      <c r="E32" s="9"/>
      <c r="F32" s="9"/>
      <c r="G32" s="9"/>
      <c r="H32" s="9"/>
      <c r="I32" s="31"/>
    </row>
    <row r="33" spans="1:9" ht="12.75">
      <c r="A33" s="36" t="s">
        <v>161</v>
      </c>
      <c r="B33" s="9">
        <f>0.7-B7/200</f>
        <v>0.6</v>
      </c>
      <c r="C33" s="9" t="s">
        <v>157</v>
      </c>
      <c r="D33" s="9">
        <v>0.5</v>
      </c>
      <c r="E33" s="9"/>
      <c r="F33" s="85" t="b">
        <f>IF(B33&gt;D33,TRUE,FALSE)</f>
        <v>1</v>
      </c>
      <c r="G33" s="9"/>
      <c r="H33" s="9"/>
      <c r="I33" s="31"/>
    </row>
    <row r="34" spans="1:9" ht="12.75">
      <c r="A34" s="45"/>
      <c r="B34" s="9"/>
      <c r="C34" s="9"/>
      <c r="D34" s="9"/>
      <c r="E34" s="9"/>
      <c r="F34" s="9"/>
      <c r="G34" s="9"/>
      <c r="H34" s="9"/>
      <c r="I34" s="31"/>
    </row>
    <row r="35" spans="1:9" ht="12.75">
      <c r="A35" s="57" t="s">
        <v>351</v>
      </c>
      <c r="B35" s="86">
        <f>ROUND(H12/(H11*B2*1000),4)</f>
        <v>0.0017</v>
      </c>
      <c r="C35" s="9" t="s">
        <v>157</v>
      </c>
      <c r="D35" s="48" t="s">
        <v>164</v>
      </c>
      <c r="E35" s="9" t="s">
        <v>165</v>
      </c>
      <c r="F35" s="9"/>
      <c r="G35" s="9"/>
      <c r="H35" s="9"/>
      <c r="I35" s="31"/>
    </row>
    <row r="36" spans="1:9" ht="12.75">
      <c r="A36" s="32"/>
      <c r="B36" s="3"/>
      <c r="C36" s="3" t="s">
        <v>162</v>
      </c>
      <c r="D36" s="72" t="s">
        <v>163</v>
      </c>
      <c r="E36" s="3">
        <f>ROUND(0.5*B33*B13/H8,4)</f>
        <v>0.0092</v>
      </c>
      <c r="F36" s="3"/>
      <c r="G36" s="3"/>
      <c r="H36" s="3"/>
      <c r="I36" s="33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46" t="s">
        <v>20</v>
      </c>
      <c r="B38" s="27"/>
      <c r="C38" s="27"/>
      <c r="D38" s="27"/>
      <c r="E38" s="27"/>
      <c r="F38" s="27"/>
      <c r="G38" s="27"/>
      <c r="H38" s="27"/>
      <c r="I38" s="28"/>
    </row>
    <row r="39" spans="1:9" ht="12.75">
      <c r="A39" s="45" t="s">
        <v>152</v>
      </c>
      <c r="B39" s="9"/>
      <c r="C39" s="9"/>
      <c r="D39" s="9"/>
      <c r="E39" s="9"/>
      <c r="F39" s="9"/>
      <c r="G39" s="9"/>
      <c r="H39" s="9"/>
      <c r="I39" s="31"/>
    </row>
    <row r="40" spans="1:9" ht="12.75">
      <c r="A40" s="45" t="s">
        <v>21</v>
      </c>
      <c r="B40" s="9" t="s">
        <v>198</v>
      </c>
      <c r="C40" s="73">
        <f>H13</f>
        <v>95.06697742079999</v>
      </c>
      <c r="D40" s="9" t="s">
        <v>132</v>
      </c>
      <c r="E40" s="9"/>
      <c r="F40" s="9"/>
      <c r="G40" s="9"/>
      <c r="H40" s="9"/>
      <c r="I40" s="31"/>
    </row>
    <row r="41" spans="1:9" ht="12.75">
      <c r="A41" s="45" t="s">
        <v>150</v>
      </c>
      <c r="B41" s="9" t="s">
        <v>153</v>
      </c>
      <c r="C41" s="73">
        <f>(B30*(B10/B12)*B31*(1.2+40*B32)*(B2*1000)*(B23*1000))*0.001</f>
        <v>57.354016112640004</v>
      </c>
      <c r="D41" s="9" t="s">
        <v>132</v>
      </c>
      <c r="E41" s="9"/>
      <c r="F41" s="9"/>
      <c r="G41" s="9"/>
      <c r="H41" s="9"/>
      <c r="I41" s="31"/>
    </row>
    <row r="42" spans="1:9" ht="12.75">
      <c r="A42" s="45" t="s">
        <v>151</v>
      </c>
      <c r="B42" s="9" t="s">
        <v>154</v>
      </c>
      <c r="C42" s="73">
        <f>(0.5*B33*B13*(B2*1000)*(0.9*B23*1000))*0.001</f>
        <v>500.99471999999986</v>
      </c>
      <c r="D42" s="9" t="s">
        <v>132</v>
      </c>
      <c r="E42" s="9" t="s">
        <v>158</v>
      </c>
      <c r="F42" s="9" t="s">
        <v>345</v>
      </c>
      <c r="G42" s="9">
        <f>G45</f>
        <v>110</v>
      </c>
      <c r="H42" s="18" t="s">
        <v>132</v>
      </c>
      <c r="I42" s="31"/>
    </row>
    <row r="43" spans="1:9" ht="12.75">
      <c r="A43" s="45" t="s">
        <v>199</v>
      </c>
      <c r="B43" s="9" t="s">
        <v>155</v>
      </c>
      <c r="C43" s="73">
        <f>C40+C41</f>
        <v>152.42099353344</v>
      </c>
      <c r="D43" s="9" t="s">
        <v>132</v>
      </c>
      <c r="E43" s="9"/>
      <c r="F43" s="9"/>
      <c r="G43" s="9"/>
      <c r="H43" s="9"/>
      <c r="I43" s="31"/>
    </row>
    <row r="44" spans="1:9" ht="13.5" thickBot="1">
      <c r="A44" s="45"/>
      <c r="B44" s="9"/>
      <c r="C44" s="9"/>
      <c r="D44" s="9"/>
      <c r="E44" s="9"/>
      <c r="F44" s="9"/>
      <c r="G44" s="9"/>
      <c r="H44" s="9"/>
      <c r="I44" s="31"/>
    </row>
    <row r="45" spans="1:9" ht="17.25" thickBot="1" thickTop="1">
      <c r="A45" s="45"/>
      <c r="B45" s="61" t="s">
        <v>344</v>
      </c>
      <c r="C45" s="62">
        <f>C43</f>
        <v>152.42099353344</v>
      </c>
      <c r="D45" s="63" t="s">
        <v>132</v>
      </c>
      <c r="E45" s="9" t="s">
        <v>158</v>
      </c>
      <c r="F45" s="9" t="s">
        <v>345</v>
      </c>
      <c r="G45" s="250">
        <v>110</v>
      </c>
      <c r="H45" s="18" t="s">
        <v>132</v>
      </c>
      <c r="I45" s="31"/>
    </row>
    <row r="46" spans="1:9" ht="13.5" thickTop="1">
      <c r="A46" s="32"/>
      <c r="B46" s="3" t="s">
        <v>346</v>
      </c>
      <c r="C46" s="64">
        <f>G45/C45</f>
        <v>0.721685362691635</v>
      </c>
      <c r="D46" s="3"/>
      <c r="E46" s="3"/>
      <c r="F46" s="3"/>
      <c r="G46" s="64"/>
      <c r="H46" s="3"/>
      <c r="I46" s="33"/>
    </row>
    <row r="47" spans="1:9" ht="12.75">
      <c r="A47" s="1" t="s">
        <v>361</v>
      </c>
      <c r="I47" s="65">
        <f ca="1">TODAY()</f>
        <v>39963</v>
      </c>
    </row>
    <row r="48" ht="12.75">
      <c r="A48" s="1" t="s">
        <v>358</v>
      </c>
    </row>
    <row r="49" spans="1:9" ht="12.75">
      <c r="A49" s="1" t="s">
        <v>393</v>
      </c>
      <c r="E49" s="66"/>
      <c r="I49" s="67" t="s">
        <v>371</v>
      </c>
    </row>
  </sheetData>
  <hyperlinks>
    <hyperlink ref="I49" r:id="rId1" display="http://www.pro-eng.com/"/>
  </hyperlinks>
  <printOptions horizontalCentered="1"/>
  <pageMargins left="0.3937007874015748" right="0.3937007874015748" top="0.984251968503937" bottom="0.7874015748031497" header="0.5118110236220472" footer="0.5118110236220472"/>
  <pageSetup blackAndWhite="1" fitToHeight="1" fitToWidth="1" horizontalDpi="240" verticalDpi="240" orientation="portrait" paperSize="9" scale="97" r:id="rId5"/>
  <headerFooter alignWithMargins="0">
    <oddHeader>&amp;CPosouzení betonových prvků dle EuroCode 2</oddHead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U25"/>
  <sheetViews>
    <sheetView showGridLines="0" zoomScale="80" zoomScaleNormal="80" workbookViewId="0" topLeftCell="A1">
      <selection activeCell="U25" sqref="U25"/>
    </sheetView>
  </sheetViews>
  <sheetFormatPr defaultColWidth="9.140625" defaultRowHeight="12.75"/>
  <cols>
    <col min="1" max="1" width="10.7109375" style="1" customWidth="1"/>
    <col min="2" max="2" width="6.8515625" style="1" customWidth="1"/>
    <col min="3" max="3" width="4.57421875" style="1" customWidth="1"/>
    <col min="4" max="4" width="9.140625" style="1" customWidth="1"/>
    <col min="5" max="5" width="9.00390625" style="1" customWidth="1"/>
    <col min="6" max="6" width="6.28125" style="1" customWidth="1"/>
    <col min="7" max="7" width="14.8515625" style="1" customWidth="1"/>
    <col min="8" max="8" width="6.8515625" style="1" customWidth="1"/>
    <col min="9" max="9" width="7.7109375" style="1" customWidth="1"/>
    <col min="10" max="10" width="8.140625" style="1" customWidth="1"/>
    <col min="11" max="11" width="9.140625" style="1" customWidth="1"/>
    <col min="12" max="12" width="7.421875" style="1" customWidth="1"/>
    <col min="13" max="13" width="9.8515625" style="1" customWidth="1"/>
    <col min="14" max="14" width="8.57421875" style="1" customWidth="1"/>
    <col min="15" max="15" width="6.8515625" style="1" customWidth="1"/>
    <col min="16" max="16" width="7.28125" style="1" customWidth="1"/>
    <col min="17" max="17" width="10.140625" style="1" customWidth="1"/>
    <col min="18" max="18" width="7.57421875" style="1" customWidth="1"/>
    <col min="19" max="19" width="7.8515625" style="1" customWidth="1"/>
    <col min="20" max="20" width="6.140625" style="1" customWidth="1"/>
    <col min="21" max="21" width="10.7109375" style="1" customWidth="1"/>
    <col min="22" max="16384" width="9.140625" style="1" customWidth="1"/>
  </cols>
  <sheetData>
    <row r="1" spans="1:14" ht="12.75" customHeight="1">
      <c r="A1" s="22" t="s">
        <v>3</v>
      </c>
      <c r="B1" s="34"/>
      <c r="C1" s="35"/>
      <c r="D1" s="22" t="s">
        <v>266</v>
      </c>
      <c r="E1" s="34"/>
      <c r="F1" s="35"/>
      <c r="G1" s="22" t="s">
        <v>5</v>
      </c>
      <c r="H1" s="34"/>
      <c r="I1" s="35"/>
      <c r="J1" s="22" t="s">
        <v>107</v>
      </c>
      <c r="K1" s="27"/>
      <c r="L1" s="27"/>
      <c r="M1" s="27"/>
      <c r="N1" s="28"/>
    </row>
    <row r="2" spans="1:14" ht="12.75">
      <c r="A2" s="29" t="s">
        <v>6</v>
      </c>
      <c r="B2" s="18"/>
      <c r="C2" s="30"/>
      <c r="D2" s="29" t="s">
        <v>7</v>
      </c>
      <c r="E2" s="18"/>
      <c r="F2" s="30" t="str">
        <f>VLOOKUP(Knihovna!L28,Knihovna!A20:H26,3)</f>
        <v>R</v>
      </c>
      <c r="G2" s="37" t="s">
        <v>349</v>
      </c>
      <c r="H2" s="247">
        <v>5</v>
      </c>
      <c r="I2" s="30" t="s">
        <v>8</v>
      </c>
      <c r="J2" s="45"/>
      <c r="K2" s="9"/>
      <c r="L2" s="9"/>
      <c r="M2" s="9"/>
      <c r="N2" s="31"/>
    </row>
    <row r="3" spans="1:14" ht="12.75">
      <c r="A3" s="29" t="s">
        <v>9</v>
      </c>
      <c r="B3" s="18">
        <f>VLOOKUP(Knihovna!H15,Knihovna!A5:K13,3)</f>
        <v>20</v>
      </c>
      <c r="C3" s="30" t="s">
        <v>10</v>
      </c>
      <c r="D3" s="29" t="s">
        <v>83</v>
      </c>
      <c r="E3" s="18">
        <f>VLOOKUP(Knihovna!L28,Knihovna!A20:H26,6)</f>
        <v>500</v>
      </c>
      <c r="F3" s="30" t="s">
        <v>10</v>
      </c>
      <c r="G3" s="43" t="s">
        <v>11</v>
      </c>
      <c r="H3" s="247">
        <v>15</v>
      </c>
      <c r="I3" s="30" t="s">
        <v>8</v>
      </c>
      <c r="J3" s="45"/>
      <c r="K3" s="9"/>
      <c r="L3" s="9"/>
      <c r="M3" s="9"/>
      <c r="N3" s="31"/>
    </row>
    <row r="4" spans="1:14" ht="12.75">
      <c r="A4" s="29" t="s">
        <v>12</v>
      </c>
      <c r="B4" s="18">
        <f>VLOOKUP(Knihovna!H15,Knihovna!A5:K13,5)</f>
        <v>2.2</v>
      </c>
      <c r="C4" s="30" t="s">
        <v>10</v>
      </c>
      <c r="D4" s="9" t="s">
        <v>141</v>
      </c>
      <c r="E4" s="9">
        <f>VLOOKUP(Knihovna!L28,Knihovna!A20:H26,7)</f>
        <v>550</v>
      </c>
      <c r="F4" s="31" t="s">
        <v>10</v>
      </c>
      <c r="G4" s="36" t="s">
        <v>347</v>
      </c>
      <c r="H4" s="247">
        <v>0</v>
      </c>
      <c r="I4" s="30" t="s">
        <v>8</v>
      </c>
      <c r="J4" s="45"/>
      <c r="K4" s="9"/>
      <c r="L4" s="9"/>
      <c r="M4" s="9"/>
      <c r="N4" s="31"/>
    </row>
    <row r="5" spans="1:14" ht="12.75">
      <c r="A5" s="29" t="s">
        <v>15</v>
      </c>
      <c r="B5" s="18">
        <f>1000*(VLOOKUP(Knihovna!H15,Knihovna!A5:K13,8))</f>
        <v>29000</v>
      </c>
      <c r="C5" s="30" t="s">
        <v>17</v>
      </c>
      <c r="D5" s="29" t="s">
        <v>13</v>
      </c>
      <c r="E5" s="247">
        <v>200000</v>
      </c>
      <c r="F5" s="30" t="s">
        <v>17</v>
      </c>
      <c r="G5" s="37" t="s">
        <v>348</v>
      </c>
      <c r="H5" s="250">
        <v>10</v>
      </c>
      <c r="I5" s="87" t="s">
        <v>8</v>
      </c>
      <c r="J5" s="45"/>
      <c r="K5" s="9"/>
      <c r="L5" s="9"/>
      <c r="M5" s="9"/>
      <c r="N5" s="31"/>
    </row>
    <row r="6" spans="1:14" ht="12.75">
      <c r="A6" s="36" t="s">
        <v>138</v>
      </c>
      <c r="B6" s="9">
        <f>VLOOKUP(Knihovna!H15,Knihovna!A5:K13,11)</f>
        <v>0.39</v>
      </c>
      <c r="C6" s="30" t="s">
        <v>17</v>
      </c>
      <c r="D6" s="29" t="s">
        <v>99</v>
      </c>
      <c r="E6" s="18" t="str">
        <f>VLOOKUP(Knihovna!L28,Knihovna!A20:H26,4)</f>
        <v>8-36</v>
      </c>
      <c r="F6" s="30" t="s">
        <v>8</v>
      </c>
      <c r="G6" s="29" t="s">
        <v>140</v>
      </c>
      <c r="H6" s="18">
        <f>H3+H2+H4</f>
        <v>20</v>
      </c>
      <c r="I6" s="30" t="s">
        <v>8</v>
      </c>
      <c r="J6" s="45"/>
      <c r="K6" s="9"/>
      <c r="L6" s="9"/>
      <c r="M6" s="9"/>
      <c r="N6" s="31"/>
    </row>
    <row r="7" spans="1:14" ht="12.75">
      <c r="A7" s="37" t="s">
        <v>133</v>
      </c>
      <c r="B7" s="247">
        <v>1</v>
      </c>
      <c r="C7" s="30"/>
      <c r="D7" s="29" t="s">
        <v>98</v>
      </c>
      <c r="E7" s="18" t="str">
        <f>VLOOKUP(Knihovna!L28,Knihovna!A20:H26,5)</f>
        <v>žebírkový</v>
      </c>
      <c r="F7" s="30"/>
      <c r="G7" s="29" t="s">
        <v>267</v>
      </c>
      <c r="H7" s="18">
        <f>H6+H5/2</f>
        <v>25</v>
      </c>
      <c r="I7" s="30" t="s">
        <v>8</v>
      </c>
      <c r="J7" s="45"/>
      <c r="K7" s="9"/>
      <c r="L7" s="9"/>
      <c r="M7" s="9"/>
      <c r="N7" s="31"/>
    </row>
    <row r="8" spans="1:14" ht="12.75">
      <c r="A8" s="37" t="s">
        <v>79</v>
      </c>
      <c r="B8" s="247">
        <v>1.5</v>
      </c>
      <c r="C8" s="30"/>
      <c r="D8" s="37" t="s">
        <v>80</v>
      </c>
      <c r="E8" s="247">
        <v>1.15</v>
      </c>
      <c r="F8" s="30"/>
      <c r="G8" s="29" t="s">
        <v>268</v>
      </c>
      <c r="H8" s="18">
        <f>H6+H5/2</f>
        <v>25</v>
      </c>
      <c r="I8" s="31" t="s">
        <v>8</v>
      </c>
      <c r="J8" s="45"/>
      <c r="K8" s="9"/>
      <c r="L8" s="9"/>
      <c r="M8" s="9"/>
      <c r="N8" s="31"/>
    </row>
    <row r="9" spans="1:14" ht="12.75">
      <c r="A9" s="41" t="s">
        <v>139</v>
      </c>
      <c r="B9" s="88">
        <f>FLOOR(B3/B8,0.01)</f>
        <v>13.33</v>
      </c>
      <c r="C9" s="89" t="s">
        <v>17</v>
      </c>
      <c r="D9" s="41" t="s">
        <v>82</v>
      </c>
      <c r="E9" s="88">
        <f>FLOOR(E3/E8,0.01)</f>
        <v>434.78000000000003</v>
      </c>
      <c r="F9" s="89" t="s">
        <v>17</v>
      </c>
      <c r="G9" s="3"/>
      <c r="H9" s="3"/>
      <c r="I9" s="33"/>
      <c r="J9" s="32"/>
      <c r="K9" s="3"/>
      <c r="L9" s="3"/>
      <c r="M9" s="3"/>
      <c r="N9" s="33"/>
    </row>
    <row r="10" spans="4:6" ht="12.75">
      <c r="D10" s="68"/>
      <c r="E10" s="9"/>
      <c r="F10" s="9"/>
    </row>
    <row r="11" spans="1:21" ht="13.5" thickBot="1">
      <c r="A11" s="90" t="s">
        <v>244</v>
      </c>
      <c r="D11" s="9"/>
      <c r="E11" s="9"/>
      <c r="F11" s="9"/>
      <c r="H11" s="91" t="s">
        <v>243</v>
      </c>
      <c r="J11" s="9"/>
      <c r="P11" s="90" t="s">
        <v>255</v>
      </c>
      <c r="R11" s="48"/>
      <c r="S11" s="48"/>
      <c r="T11" s="48"/>
      <c r="U11" s="33"/>
    </row>
    <row r="12" spans="1:21" s="105" customFormat="1" ht="24.75" customHeight="1">
      <c r="A12" s="92" t="s">
        <v>233</v>
      </c>
      <c r="B12" s="93" t="s">
        <v>236</v>
      </c>
      <c r="C12" s="94" t="s">
        <v>238</v>
      </c>
      <c r="D12" s="95" t="s">
        <v>234</v>
      </c>
      <c r="E12" s="96" t="s">
        <v>239</v>
      </c>
      <c r="F12" s="96" t="s">
        <v>240</v>
      </c>
      <c r="G12" s="97" t="s">
        <v>242</v>
      </c>
      <c r="H12" s="98" t="s">
        <v>245</v>
      </c>
      <c r="I12" s="99" t="s">
        <v>248</v>
      </c>
      <c r="J12" s="100" t="s">
        <v>269</v>
      </c>
      <c r="K12" s="101" t="s">
        <v>247</v>
      </c>
      <c r="L12" s="96" t="s">
        <v>249</v>
      </c>
      <c r="M12" s="97" t="s">
        <v>251</v>
      </c>
      <c r="N12" s="102" t="s">
        <v>252</v>
      </c>
      <c r="O12" s="103" t="s">
        <v>253</v>
      </c>
      <c r="P12" s="104" t="s">
        <v>250</v>
      </c>
      <c r="Q12" s="104" t="s">
        <v>254</v>
      </c>
      <c r="R12" s="104" t="s">
        <v>273</v>
      </c>
      <c r="S12" s="104" t="s">
        <v>270</v>
      </c>
      <c r="T12" s="104" t="s">
        <v>271</v>
      </c>
      <c r="U12" s="257" t="s">
        <v>272</v>
      </c>
    </row>
    <row r="13" spans="1:21" ht="13.5" thickBot="1">
      <c r="A13" s="106"/>
      <c r="B13" s="107" t="s">
        <v>237</v>
      </c>
      <c r="C13" s="108" t="s">
        <v>237</v>
      </c>
      <c r="D13" s="109" t="s">
        <v>235</v>
      </c>
      <c r="E13" s="110" t="s">
        <v>237</v>
      </c>
      <c r="F13" s="110" t="s">
        <v>237</v>
      </c>
      <c r="G13" s="111" t="s">
        <v>241</v>
      </c>
      <c r="H13" s="107" t="s">
        <v>246</v>
      </c>
      <c r="I13" s="111" t="s">
        <v>120</v>
      </c>
      <c r="J13" s="112" t="s">
        <v>246</v>
      </c>
      <c r="K13" s="113" t="s">
        <v>241</v>
      </c>
      <c r="L13" s="110" t="s">
        <v>237</v>
      </c>
      <c r="M13" s="111" t="s">
        <v>237</v>
      </c>
      <c r="N13" s="114" t="s">
        <v>235</v>
      </c>
      <c r="O13" s="113"/>
      <c r="P13" s="110" t="s">
        <v>120</v>
      </c>
      <c r="Q13" s="110" t="s">
        <v>120</v>
      </c>
      <c r="R13" s="110" t="s">
        <v>120</v>
      </c>
      <c r="S13" s="110" t="s">
        <v>120</v>
      </c>
      <c r="T13" s="110" t="s">
        <v>120</v>
      </c>
      <c r="U13" s="258" t="s">
        <v>256</v>
      </c>
    </row>
    <row r="14" spans="1:21" ht="12.75">
      <c r="A14" s="266">
        <v>1</v>
      </c>
      <c r="B14" s="251">
        <v>0.12</v>
      </c>
      <c r="C14" s="252">
        <v>1</v>
      </c>
      <c r="D14" s="255">
        <v>20</v>
      </c>
      <c r="E14" s="116">
        <f aca="true" t="shared" si="0" ref="E14:E21">B14-$H$7*0.001</f>
        <v>0.095</v>
      </c>
      <c r="F14" s="116">
        <f aca="true" t="shared" si="1" ref="F14:F21">0.9*E14</f>
        <v>0.0855</v>
      </c>
      <c r="G14" s="117">
        <f aca="true" t="shared" si="2" ref="G14:G21">((D14*1000)/(F14*$E$9*1000000))*1000000</f>
        <v>538.0149239959766</v>
      </c>
      <c r="H14" s="251">
        <v>8</v>
      </c>
      <c r="I14" s="116">
        <f aca="true" t="shared" si="3" ref="I14:I21">CEILING((G14/((PI()*H14^2)/4)),1)</f>
        <v>11</v>
      </c>
      <c r="J14" s="118">
        <f aca="true" t="shared" si="4" ref="J14:J21">C14*1000/I14</f>
        <v>90.9090909090909</v>
      </c>
      <c r="K14" s="119">
        <f aca="true" t="shared" si="5" ref="K14:K21">I14*PI()*H14^2/4</f>
        <v>552.9203070318035</v>
      </c>
      <c r="L14" s="116">
        <f aca="true" t="shared" si="6" ref="L14:L21">0.001*K14*$E$9/(C14*1000*0.8*$B$7*$B$9)</f>
        <v>0.022543013043068973</v>
      </c>
      <c r="M14" s="115">
        <f aca="true" t="shared" si="7" ref="M14:M21">E14-0.4*L14</f>
        <v>0.08598279478277242</v>
      </c>
      <c r="N14" s="268">
        <f aca="true" t="shared" si="8" ref="N14:N21">0.001*(K14*$E$9*M14)</f>
        <v>20.67015132214928</v>
      </c>
      <c r="O14" s="270" t="str">
        <f>IF(N14&gt;=D14,"O.K.","K.O!")</f>
        <v>O.K.</v>
      </c>
      <c r="P14" s="116">
        <f aca="true" t="shared" si="9" ref="P14:P21">L14/E14</f>
        <v>0.23729487413756814</v>
      </c>
      <c r="Q14" s="116">
        <f aca="true" t="shared" si="10" ref="Q14:Q21">K14*0.000001/(C14*E14)</f>
        <v>0.005820213758229511</v>
      </c>
      <c r="R14" s="116">
        <f aca="true" t="shared" si="11" ref="R14:R21">0.6/$E$3</f>
        <v>0.0012</v>
      </c>
      <c r="S14" s="116">
        <v>0.0015</v>
      </c>
      <c r="T14" s="116">
        <v>0.04</v>
      </c>
      <c r="U14" s="259" t="str">
        <f>IF(AND(Q14&gt;=R14,Q14&gt;=S14,Q14&lt;=T14),"O.K.","K.O!")</f>
        <v>O.K.</v>
      </c>
    </row>
    <row r="15" spans="1:21" ht="12.75">
      <c r="A15" s="267">
        <v>2</v>
      </c>
      <c r="B15" s="253">
        <v>0.12</v>
      </c>
      <c r="C15" s="254">
        <v>1</v>
      </c>
      <c r="D15" s="256">
        <v>5</v>
      </c>
      <c r="E15" s="87">
        <f t="shared" si="0"/>
        <v>0.095</v>
      </c>
      <c r="F15" s="87">
        <f t="shared" si="1"/>
        <v>0.0855</v>
      </c>
      <c r="G15" s="120">
        <f t="shared" si="2"/>
        <v>134.50373099899414</v>
      </c>
      <c r="H15" s="253">
        <v>6</v>
      </c>
      <c r="I15" s="87">
        <f t="shared" si="3"/>
        <v>5</v>
      </c>
      <c r="J15" s="118">
        <f t="shared" si="4"/>
        <v>200</v>
      </c>
      <c r="K15" s="121">
        <f t="shared" si="5"/>
        <v>141.3716694115407</v>
      </c>
      <c r="L15" s="87">
        <f t="shared" si="6"/>
        <v>0.005763838562148319</v>
      </c>
      <c r="M15" s="45">
        <f t="shared" si="7"/>
        <v>0.09269446457514068</v>
      </c>
      <c r="N15" s="269">
        <f t="shared" si="8"/>
        <v>5.697518511291021</v>
      </c>
      <c r="O15" s="271" t="str">
        <f aca="true" t="shared" si="12" ref="O15:O21">IF(N15&gt;=D15,"O.K.","K.O!")</f>
        <v>O.K.</v>
      </c>
      <c r="P15" s="87">
        <f t="shared" si="9"/>
        <v>0.06067198486471914</v>
      </c>
      <c r="Q15" s="87">
        <f t="shared" si="10"/>
        <v>0.0014881228359109545</v>
      </c>
      <c r="R15" s="87">
        <f t="shared" si="11"/>
        <v>0.0012</v>
      </c>
      <c r="S15" s="87">
        <v>0.0015</v>
      </c>
      <c r="T15" s="87">
        <v>0.04</v>
      </c>
      <c r="U15" s="260" t="str">
        <f>IF(AND(Q15&gt;=R15,Q15&gt;=S15,Q15&lt;=T15),"O.K.","K.O!")</f>
        <v>K.O!</v>
      </c>
    </row>
    <row r="16" spans="1:21" ht="12.75">
      <c r="A16" s="267">
        <v>3</v>
      </c>
      <c r="B16" s="253">
        <v>0.12</v>
      </c>
      <c r="C16" s="254">
        <v>1</v>
      </c>
      <c r="D16" s="256">
        <v>10</v>
      </c>
      <c r="E16" s="87">
        <f t="shared" si="0"/>
        <v>0.095</v>
      </c>
      <c r="F16" s="87">
        <f t="shared" si="1"/>
        <v>0.0855</v>
      </c>
      <c r="G16" s="120">
        <f t="shared" si="2"/>
        <v>269.0074619979883</v>
      </c>
      <c r="H16" s="253">
        <v>6</v>
      </c>
      <c r="I16" s="87">
        <f t="shared" si="3"/>
        <v>10</v>
      </c>
      <c r="J16" s="118">
        <f t="shared" si="4"/>
        <v>100</v>
      </c>
      <c r="K16" s="121">
        <f t="shared" si="5"/>
        <v>282.7433388230814</v>
      </c>
      <c r="L16" s="87">
        <f t="shared" si="6"/>
        <v>0.011527677124296637</v>
      </c>
      <c r="M16" s="45">
        <f t="shared" si="7"/>
        <v>0.09038892915028135</v>
      </c>
      <c r="N16" s="269">
        <f t="shared" si="8"/>
        <v>11.111614904081643</v>
      </c>
      <c r="O16" s="271" t="str">
        <f t="shared" si="12"/>
        <v>O.K.</v>
      </c>
      <c r="P16" s="87">
        <f t="shared" si="9"/>
        <v>0.12134396972943828</v>
      </c>
      <c r="Q16" s="87">
        <f t="shared" si="10"/>
        <v>0.002976245671821909</v>
      </c>
      <c r="R16" s="87">
        <f t="shared" si="11"/>
        <v>0.0012</v>
      </c>
      <c r="S16" s="87">
        <v>0.0015</v>
      </c>
      <c r="T16" s="87">
        <v>0.04</v>
      </c>
      <c r="U16" s="260" t="str">
        <f aca="true" t="shared" si="13" ref="U16:U21">IF(AND(Q16&gt;=R16,Q16&gt;=S16,Q16&lt;=T16),"O.K.","K.O!")</f>
        <v>O.K.</v>
      </c>
    </row>
    <row r="17" spans="1:21" ht="12.75">
      <c r="A17" s="267">
        <v>4</v>
      </c>
      <c r="B17" s="253">
        <v>0.12</v>
      </c>
      <c r="C17" s="254">
        <v>1</v>
      </c>
      <c r="D17" s="256">
        <v>25</v>
      </c>
      <c r="E17" s="87">
        <f t="shared" si="0"/>
        <v>0.095</v>
      </c>
      <c r="F17" s="87">
        <f t="shared" si="1"/>
        <v>0.0855</v>
      </c>
      <c r="G17" s="120">
        <f t="shared" si="2"/>
        <v>672.5186549949708</v>
      </c>
      <c r="H17" s="253">
        <v>8</v>
      </c>
      <c r="I17" s="87">
        <f t="shared" si="3"/>
        <v>14</v>
      </c>
      <c r="J17" s="118">
        <f t="shared" si="4"/>
        <v>71.42857142857143</v>
      </c>
      <c r="K17" s="121">
        <f t="shared" si="5"/>
        <v>703.7167544041137</v>
      </c>
      <c r="L17" s="87">
        <f t="shared" si="6"/>
        <v>0.028691107509360516</v>
      </c>
      <c r="M17" s="45">
        <f t="shared" si="7"/>
        <v>0.0835235569962558</v>
      </c>
      <c r="N17" s="269">
        <f t="shared" si="8"/>
        <v>25.555032080058027</v>
      </c>
      <c r="O17" s="271" t="str">
        <f t="shared" si="12"/>
        <v>O.K.</v>
      </c>
      <c r="P17" s="87">
        <f t="shared" si="9"/>
        <v>0.30201165799326857</v>
      </c>
      <c r="Q17" s="87">
        <f t="shared" si="10"/>
        <v>0.007407544783201197</v>
      </c>
      <c r="R17" s="87">
        <f t="shared" si="11"/>
        <v>0.0012</v>
      </c>
      <c r="S17" s="87">
        <v>0.0015</v>
      </c>
      <c r="T17" s="87">
        <v>0.04</v>
      </c>
      <c r="U17" s="260" t="str">
        <f t="shared" si="13"/>
        <v>O.K.</v>
      </c>
    </row>
    <row r="18" spans="1:21" ht="12.75">
      <c r="A18" s="267">
        <v>5</v>
      </c>
      <c r="B18" s="253">
        <v>0.12</v>
      </c>
      <c r="C18" s="254">
        <v>1</v>
      </c>
      <c r="D18" s="256">
        <v>15</v>
      </c>
      <c r="E18" s="87">
        <f t="shared" si="0"/>
        <v>0.095</v>
      </c>
      <c r="F18" s="87">
        <f t="shared" si="1"/>
        <v>0.0855</v>
      </c>
      <c r="G18" s="120">
        <f t="shared" si="2"/>
        <v>403.51119299698246</v>
      </c>
      <c r="H18" s="253">
        <v>8</v>
      </c>
      <c r="I18" s="87">
        <f t="shared" si="3"/>
        <v>9</v>
      </c>
      <c r="J18" s="118">
        <f t="shared" si="4"/>
        <v>111.11111111111111</v>
      </c>
      <c r="K18" s="121">
        <f t="shared" si="5"/>
        <v>452.3893421169302</v>
      </c>
      <c r="L18" s="87">
        <f t="shared" si="6"/>
        <v>0.01844428339887462</v>
      </c>
      <c r="M18" s="45">
        <f t="shared" si="7"/>
        <v>0.08762228664045016</v>
      </c>
      <c r="N18" s="269">
        <f t="shared" si="8"/>
        <v>17.23441337900986</v>
      </c>
      <c r="O18" s="271" t="str">
        <f t="shared" si="12"/>
        <v>O.K.</v>
      </c>
      <c r="P18" s="87">
        <f t="shared" si="9"/>
        <v>0.19415035156710125</v>
      </c>
      <c r="Q18" s="87">
        <f t="shared" si="10"/>
        <v>0.004761993074915055</v>
      </c>
      <c r="R18" s="87">
        <f t="shared" si="11"/>
        <v>0.0012</v>
      </c>
      <c r="S18" s="87">
        <v>0.0015</v>
      </c>
      <c r="T18" s="87">
        <v>0.04</v>
      </c>
      <c r="U18" s="260" t="str">
        <f t="shared" si="13"/>
        <v>O.K.</v>
      </c>
    </row>
    <row r="19" spans="1:21" ht="12.75">
      <c r="A19" s="267">
        <v>6</v>
      </c>
      <c r="B19" s="253">
        <v>0.12</v>
      </c>
      <c r="C19" s="254">
        <v>1</v>
      </c>
      <c r="D19" s="256">
        <v>8</v>
      </c>
      <c r="E19" s="87">
        <f t="shared" si="0"/>
        <v>0.095</v>
      </c>
      <c r="F19" s="87">
        <f t="shared" si="1"/>
        <v>0.0855</v>
      </c>
      <c r="G19" s="120">
        <f t="shared" si="2"/>
        <v>215.20596959839065</v>
      </c>
      <c r="H19" s="253">
        <v>6</v>
      </c>
      <c r="I19" s="87">
        <f t="shared" si="3"/>
        <v>8</v>
      </c>
      <c r="J19" s="118">
        <f t="shared" si="4"/>
        <v>125</v>
      </c>
      <c r="K19" s="121">
        <f t="shared" si="5"/>
        <v>226.1946710584651</v>
      </c>
      <c r="L19" s="87">
        <f t="shared" si="6"/>
        <v>0.00922214169943731</v>
      </c>
      <c r="M19" s="45">
        <f t="shared" si="7"/>
        <v>0.09131114332022508</v>
      </c>
      <c r="N19" s="269">
        <f t="shared" si="8"/>
        <v>8.97998700118544</v>
      </c>
      <c r="O19" s="271" t="str">
        <f t="shared" si="12"/>
        <v>O.K.</v>
      </c>
      <c r="P19" s="87">
        <f t="shared" si="9"/>
        <v>0.09707517578355063</v>
      </c>
      <c r="Q19" s="87">
        <f t="shared" si="10"/>
        <v>0.0023809965374575275</v>
      </c>
      <c r="R19" s="87">
        <f t="shared" si="11"/>
        <v>0.0012</v>
      </c>
      <c r="S19" s="87">
        <v>0.0015</v>
      </c>
      <c r="T19" s="87">
        <v>0.04</v>
      </c>
      <c r="U19" s="260" t="str">
        <f t="shared" si="13"/>
        <v>O.K.</v>
      </c>
    </row>
    <row r="20" spans="1:21" ht="12.75">
      <c r="A20" s="267">
        <v>7</v>
      </c>
      <c r="B20" s="253">
        <v>0.12</v>
      </c>
      <c r="C20" s="254">
        <v>1</v>
      </c>
      <c r="D20" s="256">
        <v>30</v>
      </c>
      <c r="E20" s="87">
        <f t="shared" si="0"/>
        <v>0.095</v>
      </c>
      <c r="F20" s="87">
        <f t="shared" si="1"/>
        <v>0.0855</v>
      </c>
      <c r="G20" s="120">
        <f t="shared" si="2"/>
        <v>807.0223859939649</v>
      </c>
      <c r="H20" s="253">
        <v>8</v>
      </c>
      <c r="I20" s="87">
        <f t="shared" si="3"/>
        <v>17</v>
      </c>
      <c r="J20" s="118">
        <f t="shared" si="4"/>
        <v>58.8235294117647</v>
      </c>
      <c r="K20" s="121">
        <f t="shared" si="5"/>
        <v>854.5132017764238</v>
      </c>
      <c r="L20" s="87">
        <f t="shared" si="6"/>
        <v>0.03483920197565206</v>
      </c>
      <c r="M20" s="45">
        <f t="shared" si="7"/>
        <v>0.08106431920973918</v>
      </c>
      <c r="N20" s="269">
        <f t="shared" si="8"/>
        <v>30.11744144980632</v>
      </c>
      <c r="O20" s="271" t="str">
        <f t="shared" si="12"/>
        <v>O.K.</v>
      </c>
      <c r="P20" s="87">
        <f t="shared" si="9"/>
        <v>0.366728441848969</v>
      </c>
      <c r="Q20" s="87">
        <f t="shared" si="10"/>
        <v>0.008994875808172882</v>
      </c>
      <c r="R20" s="87">
        <f t="shared" si="11"/>
        <v>0.0012</v>
      </c>
      <c r="S20" s="87">
        <v>0.0015</v>
      </c>
      <c r="T20" s="87">
        <v>0.04</v>
      </c>
      <c r="U20" s="260" t="str">
        <f t="shared" si="13"/>
        <v>O.K.</v>
      </c>
    </row>
    <row r="21" spans="1:21" ht="12.75">
      <c r="A21" s="267">
        <v>8</v>
      </c>
      <c r="B21" s="253">
        <v>0.12</v>
      </c>
      <c r="C21" s="254">
        <v>1</v>
      </c>
      <c r="D21" s="256">
        <v>28</v>
      </c>
      <c r="E21" s="87">
        <f t="shared" si="0"/>
        <v>0.095</v>
      </c>
      <c r="F21" s="87">
        <f t="shared" si="1"/>
        <v>0.0855</v>
      </c>
      <c r="G21" s="120">
        <f t="shared" si="2"/>
        <v>753.2208935943673</v>
      </c>
      <c r="H21" s="253">
        <v>10</v>
      </c>
      <c r="I21" s="87">
        <f t="shared" si="3"/>
        <v>10</v>
      </c>
      <c r="J21" s="118">
        <f t="shared" si="4"/>
        <v>100</v>
      </c>
      <c r="K21" s="121">
        <f t="shared" si="5"/>
        <v>785.3981633974482</v>
      </c>
      <c r="L21" s="87">
        <f t="shared" si="6"/>
        <v>0.032021325345268435</v>
      </c>
      <c r="M21" s="45">
        <f t="shared" si="7"/>
        <v>0.08219146986189263</v>
      </c>
      <c r="N21" s="269">
        <f t="shared" si="8"/>
        <v>28.066366155778407</v>
      </c>
      <c r="O21" s="271" t="str">
        <f t="shared" si="12"/>
        <v>O.K.</v>
      </c>
      <c r="P21" s="87">
        <f t="shared" si="9"/>
        <v>0.337066582581773</v>
      </c>
      <c r="Q21" s="87">
        <f t="shared" si="10"/>
        <v>0.008267349088394191</v>
      </c>
      <c r="R21" s="87">
        <f t="shared" si="11"/>
        <v>0.0012</v>
      </c>
      <c r="S21" s="87">
        <v>0.0015</v>
      </c>
      <c r="T21" s="87">
        <v>0.04</v>
      </c>
      <c r="U21" s="260" t="str">
        <f t="shared" si="13"/>
        <v>O.K.</v>
      </c>
    </row>
    <row r="23" ht="12.75">
      <c r="A23" s="48" t="s">
        <v>362</v>
      </c>
    </row>
    <row r="24" spans="1:21" ht="12.75">
      <c r="A24" s="1" t="s">
        <v>358</v>
      </c>
      <c r="U24" s="65">
        <f ca="1">TODAY()</f>
        <v>39963</v>
      </c>
    </row>
    <row r="25" spans="1:21" ht="12.75">
      <c r="A25" s="1" t="s">
        <v>393</v>
      </c>
      <c r="U25" s="67" t="s">
        <v>371</v>
      </c>
    </row>
  </sheetData>
  <hyperlinks>
    <hyperlink ref="U25" r:id="rId1" display="http://www.pro-eng.com/"/>
  </hyperlinks>
  <printOptions horizontalCentered="1"/>
  <pageMargins left="0.5511811023622047" right="0.5118110236220472" top="0.984251968503937" bottom="0.984251968503937" header="0.5118110236220472" footer="0.5118110236220472"/>
  <pageSetup blackAndWhite="1" fitToHeight="1" fitToWidth="1" horizontalDpi="240" verticalDpi="240" orientation="landscape" paperSize="9" scale="79" r:id="rId5"/>
  <headerFooter alignWithMargins="0">
    <oddHeader>&amp;CPosouzení betonových prvků dle EuroCode 2</oddHead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I80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14.57421875" style="1" customWidth="1"/>
    <col min="2" max="2" width="9.7109375" style="1" customWidth="1"/>
    <col min="3" max="3" width="9.140625" style="1" customWidth="1"/>
    <col min="4" max="4" width="10.7109375" style="1" customWidth="1"/>
    <col min="5" max="5" width="10.421875" style="1" customWidth="1"/>
    <col min="6" max="6" width="9.140625" style="1" customWidth="1"/>
    <col min="7" max="7" width="10.7109375" style="1" customWidth="1"/>
    <col min="8" max="8" width="13.00390625" style="1" customWidth="1"/>
    <col min="9" max="9" width="11.28125" style="1" customWidth="1"/>
    <col min="10" max="16384" width="9.140625" style="1" customWidth="1"/>
  </cols>
  <sheetData>
    <row r="1" spans="1:9" ht="13.5" thickBot="1">
      <c r="A1" s="22" t="s">
        <v>84</v>
      </c>
      <c r="B1" s="23"/>
      <c r="C1" s="24"/>
      <c r="D1" s="25" t="s">
        <v>85</v>
      </c>
      <c r="E1" s="26" t="s">
        <v>100</v>
      </c>
      <c r="F1" s="27" t="s">
        <v>101</v>
      </c>
      <c r="G1" s="27"/>
      <c r="H1" s="264" t="s">
        <v>364</v>
      </c>
      <c r="I1" s="265" t="s">
        <v>365</v>
      </c>
    </row>
    <row r="2" spans="1:9" ht="13.5" thickBot="1">
      <c r="A2" s="29" t="s">
        <v>0</v>
      </c>
      <c r="B2" s="261">
        <v>2.36</v>
      </c>
      <c r="C2" s="30" t="s">
        <v>1</v>
      </c>
      <c r="D2" s="9" t="s">
        <v>96</v>
      </c>
      <c r="E2" s="9">
        <f>VLOOKUP(Knihovna!K52,Knihovna!A33:B50,2)</f>
        <v>16</v>
      </c>
      <c r="F2" s="246">
        <v>11</v>
      </c>
      <c r="G2" s="9" t="s">
        <v>86</v>
      </c>
      <c r="H2" s="9">
        <f>F2*0.7854*E2^2</f>
        <v>2211.6864</v>
      </c>
      <c r="I2" s="31" t="s">
        <v>88</v>
      </c>
    </row>
    <row r="3" spans="1:9" ht="13.5" thickBot="1">
      <c r="A3" s="29" t="s">
        <v>2</v>
      </c>
      <c r="B3" s="245">
        <v>0.15</v>
      </c>
      <c r="C3" s="30" t="s">
        <v>1</v>
      </c>
      <c r="D3" s="122" t="s">
        <v>97</v>
      </c>
      <c r="E3" s="123">
        <f>VLOOKUP(Knihovna!L52,Knihovna!A33:B50,2)</f>
        <v>16</v>
      </c>
      <c r="F3" s="123">
        <v>0</v>
      </c>
      <c r="G3" s="123" t="s">
        <v>87</v>
      </c>
      <c r="H3" s="123">
        <f>F3*0.7854*E3^2</f>
        <v>0</v>
      </c>
      <c r="I3" s="124" t="s">
        <v>88</v>
      </c>
    </row>
    <row r="4" spans="1:9" ht="12.75">
      <c r="A4" s="32" t="s">
        <v>293</v>
      </c>
      <c r="B4" s="262">
        <v>3.6</v>
      </c>
      <c r="C4" s="33" t="s">
        <v>1</v>
      </c>
      <c r="D4" s="3"/>
      <c r="E4" s="3"/>
      <c r="F4" s="3"/>
      <c r="G4" s="3"/>
      <c r="H4" s="3"/>
      <c r="I4" s="33"/>
    </row>
    <row r="5" spans="1:9" ht="12.75">
      <c r="A5" s="22" t="s">
        <v>3</v>
      </c>
      <c r="B5" s="34"/>
      <c r="C5" s="35"/>
      <c r="D5" s="22" t="s">
        <v>104</v>
      </c>
      <c r="E5" s="34"/>
      <c r="F5" s="34"/>
      <c r="G5" s="125" t="s">
        <v>105</v>
      </c>
      <c r="H5" s="126"/>
      <c r="I5" s="127"/>
    </row>
    <row r="6" spans="1:9" ht="12.75">
      <c r="A6" s="29" t="s">
        <v>6</v>
      </c>
      <c r="B6" s="18"/>
      <c r="C6" s="30"/>
      <c r="D6" s="29" t="s">
        <v>7</v>
      </c>
      <c r="E6" s="18"/>
      <c r="F6" s="18" t="str">
        <f>VLOOKUP(Knihovna!J28,Knihovna!A20:H26,3)</f>
        <v>V</v>
      </c>
      <c r="G6" s="128" t="s">
        <v>7</v>
      </c>
      <c r="H6" s="129"/>
      <c r="I6" s="130" t="str">
        <f>VLOOKUP(Knihovna!K28,Knihovna!A20:H26,3)</f>
        <v>V</v>
      </c>
    </row>
    <row r="7" spans="1:9" ht="12.75">
      <c r="A7" s="29" t="s">
        <v>9</v>
      </c>
      <c r="B7" s="18">
        <f>VLOOKUP(Knihovna!G15,Knihovna!A5:K13,3)</f>
        <v>16</v>
      </c>
      <c r="C7" s="30" t="s">
        <v>10</v>
      </c>
      <c r="D7" s="29" t="s">
        <v>83</v>
      </c>
      <c r="E7" s="18">
        <f>VLOOKUP(Knihovna!J28,Knihovna!A20:H26,6)</f>
        <v>410</v>
      </c>
      <c r="F7" s="18" t="s">
        <v>10</v>
      </c>
      <c r="G7" s="128" t="s">
        <v>83</v>
      </c>
      <c r="H7" s="129">
        <f>VLOOKUP(Knihovna!K28,Knihovna!A20:H26,6)</f>
        <v>410</v>
      </c>
      <c r="I7" s="130" t="s">
        <v>10</v>
      </c>
    </row>
    <row r="8" spans="1:9" ht="12.75">
      <c r="A8" s="29" t="s">
        <v>12</v>
      </c>
      <c r="B8" s="18">
        <f>VLOOKUP(Knihovna!G15,Knihovna!A5:K13,5)</f>
        <v>1.9</v>
      </c>
      <c r="C8" s="30" t="s">
        <v>10</v>
      </c>
      <c r="D8" s="9" t="s">
        <v>141</v>
      </c>
      <c r="E8" s="9">
        <f>VLOOKUP(Knihovna!J28,Knihovna!A20:H26,7)</f>
        <v>520</v>
      </c>
      <c r="F8" s="9" t="s">
        <v>10</v>
      </c>
      <c r="G8" s="131" t="s">
        <v>141</v>
      </c>
      <c r="H8" s="132">
        <f>VLOOKUP(Knihovna!K28,Knihovna!A20:H26,7)</f>
        <v>520</v>
      </c>
      <c r="I8" s="133" t="s">
        <v>10</v>
      </c>
    </row>
    <row r="9" spans="1:9" ht="12.75">
      <c r="A9" s="29" t="s">
        <v>15</v>
      </c>
      <c r="B9" s="18">
        <f>1000*(VLOOKUP(Knihovna!G15,Knihovna!A5:K13,8))</f>
        <v>27500</v>
      </c>
      <c r="C9" s="30" t="s">
        <v>17</v>
      </c>
      <c r="D9" s="29" t="s">
        <v>13</v>
      </c>
      <c r="E9" s="247">
        <v>200000</v>
      </c>
      <c r="F9" s="18" t="s">
        <v>17</v>
      </c>
      <c r="G9" s="128" t="s">
        <v>13</v>
      </c>
      <c r="H9" s="129">
        <f>E9</f>
        <v>200000</v>
      </c>
      <c r="I9" s="130" t="s">
        <v>17</v>
      </c>
    </row>
    <row r="10" spans="1:9" ht="12.75">
      <c r="A10" s="36" t="s">
        <v>138</v>
      </c>
      <c r="B10" s="9">
        <f>VLOOKUP(Knihovna!G15,Knihovna!A5:K13,11)</f>
        <v>0.33</v>
      </c>
      <c r="C10" s="30" t="s">
        <v>17</v>
      </c>
      <c r="D10" s="29" t="s">
        <v>99</v>
      </c>
      <c r="E10" s="18" t="str">
        <f>VLOOKUP(Knihovna!J28,Knihovna!A20:H26,4)</f>
        <v>6,8-32</v>
      </c>
      <c r="F10" s="18" t="s">
        <v>8</v>
      </c>
      <c r="G10" s="128" t="s">
        <v>99</v>
      </c>
      <c r="H10" s="129" t="str">
        <f>VLOOKUP(Knihovna!K28,Knihovna!A20:H26,4)</f>
        <v>6,8-32</v>
      </c>
      <c r="I10" s="130" t="s">
        <v>8</v>
      </c>
    </row>
    <row r="11" spans="1:9" ht="12.75">
      <c r="A11" s="37" t="s">
        <v>133</v>
      </c>
      <c r="B11" s="247">
        <v>1</v>
      </c>
      <c r="C11" s="30"/>
      <c r="D11" s="29" t="s">
        <v>98</v>
      </c>
      <c r="E11" s="18" t="str">
        <f>VLOOKUP(Knihovna!C28,Knihovna!A20:H26,5)</f>
        <v>žebírkový</v>
      </c>
      <c r="F11" s="18"/>
      <c r="G11" s="128" t="s">
        <v>98</v>
      </c>
      <c r="H11" s="129" t="str">
        <f>VLOOKUP(Knihovna!K28,Knihovna!A20:H26,5)</f>
        <v>žebírkový</v>
      </c>
      <c r="I11" s="130"/>
    </row>
    <row r="12" spans="1:9" ht="12.75">
      <c r="A12" s="37" t="s">
        <v>79</v>
      </c>
      <c r="B12" s="247">
        <v>1.5</v>
      </c>
      <c r="C12" s="30"/>
      <c r="D12" s="37" t="s">
        <v>80</v>
      </c>
      <c r="E12" s="247">
        <v>1.15</v>
      </c>
      <c r="F12" s="18"/>
      <c r="G12" s="134"/>
      <c r="H12" s="129"/>
      <c r="I12" s="130"/>
    </row>
    <row r="13" spans="1:9" ht="12.75">
      <c r="A13" s="29" t="s">
        <v>139</v>
      </c>
      <c r="B13" s="38">
        <f>FLOOR(B7/B12,0.01)</f>
        <v>10.66</v>
      </c>
      <c r="C13" s="39" t="s">
        <v>17</v>
      </c>
      <c r="D13" s="29" t="s">
        <v>82</v>
      </c>
      <c r="E13" s="38">
        <f>FLOOR(E7/E12,0.01)</f>
        <v>356.52</v>
      </c>
      <c r="F13" s="38" t="s">
        <v>17</v>
      </c>
      <c r="G13" s="128" t="s">
        <v>330</v>
      </c>
      <c r="H13" s="135">
        <f>FLOOR(H7/E12,0.01)</f>
        <v>356.52</v>
      </c>
      <c r="I13" s="136" t="s">
        <v>17</v>
      </c>
    </row>
    <row r="14" spans="1:9" ht="12.75">
      <c r="A14" s="37" t="s">
        <v>106</v>
      </c>
      <c r="B14" s="247">
        <v>0.0035</v>
      </c>
      <c r="C14" s="30"/>
      <c r="D14" s="37" t="s">
        <v>81</v>
      </c>
      <c r="E14" s="40">
        <f>E13/E9</f>
        <v>0.0017825999999999999</v>
      </c>
      <c r="F14" s="18"/>
      <c r="G14" s="134" t="s">
        <v>331</v>
      </c>
      <c r="H14" s="137">
        <f>H13/H9</f>
        <v>0.0017825999999999999</v>
      </c>
      <c r="I14" s="130"/>
    </row>
    <row r="15" spans="1:9" ht="12.75">
      <c r="A15" s="41"/>
      <c r="B15" s="16"/>
      <c r="C15" s="42"/>
      <c r="D15" s="41"/>
      <c r="E15" s="16"/>
      <c r="F15" s="16"/>
      <c r="G15" s="138"/>
      <c r="H15" s="139"/>
      <c r="I15" s="140"/>
    </row>
    <row r="16" spans="1:9" ht="12.75">
      <c r="A16" s="22" t="s">
        <v>5</v>
      </c>
      <c r="B16" s="34"/>
      <c r="C16" s="35"/>
      <c r="D16" s="46" t="s">
        <v>279</v>
      </c>
      <c r="E16" s="27"/>
      <c r="F16" s="27"/>
      <c r="G16" s="27"/>
      <c r="H16" s="27"/>
      <c r="I16" s="28"/>
    </row>
    <row r="17" spans="1:9" ht="12.75">
      <c r="A17" s="37" t="s">
        <v>349</v>
      </c>
      <c r="B17" s="247">
        <v>0</v>
      </c>
      <c r="C17" s="30" t="s">
        <v>8</v>
      </c>
      <c r="D17" s="45" t="s">
        <v>280</v>
      </c>
      <c r="E17" s="141">
        <f>B2*B3</f>
        <v>0.354</v>
      </c>
      <c r="F17" s="18" t="s">
        <v>281</v>
      </c>
      <c r="G17" s="18" t="s">
        <v>290</v>
      </c>
      <c r="H17" s="9">
        <f>E19/(H2*10^-6)</f>
        <v>0.126</v>
      </c>
      <c r="I17" s="30" t="s">
        <v>1</v>
      </c>
    </row>
    <row r="18" spans="1:9" ht="12.75">
      <c r="A18" s="43" t="s">
        <v>11</v>
      </c>
      <c r="B18" s="247">
        <v>16</v>
      </c>
      <c r="C18" s="30" t="s">
        <v>8</v>
      </c>
      <c r="D18" s="29" t="s">
        <v>282</v>
      </c>
      <c r="E18" s="141">
        <f>E17*B3/2</f>
        <v>0.026549999999999997</v>
      </c>
      <c r="F18" s="18" t="s">
        <v>283</v>
      </c>
      <c r="G18" s="18" t="s">
        <v>284</v>
      </c>
      <c r="H18" s="141">
        <f>B2*B3^3/3</f>
        <v>0.002655</v>
      </c>
      <c r="I18" s="31" t="s">
        <v>285</v>
      </c>
    </row>
    <row r="19" spans="1:9" ht="12.75">
      <c r="A19" s="36" t="s">
        <v>347</v>
      </c>
      <c r="B19" s="247">
        <v>0</v>
      </c>
      <c r="C19" s="30" t="s">
        <v>8</v>
      </c>
      <c r="D19" s="29" t="s">
        <v>286</v>
      </c>
      <c r="E19" s="141">
        <f>H2*10^-6*B23</f>
        <v>0.00027867248639999997</v>
      </c>
      <c r="F19" s="18" t="s">
        <v>283</v>
      </c>
      <c r="G19" s="18" t="s">
        <v>287</v>
      </c>
      <c r="H19" s="141">
        <f>E19*B23</f>
        <v>3.51127332864E-05</v>
      </c>
      <c r="I19" s="31" t="s">
        <v>285</v>
      </c>
    </row>
    <row r="20" spans="1:9" ht="12.75">
      <c r="A20" s="29" t="s">
        <v>140</v>
      </c>
      <c r="B20" s="18">
        <f>B18+B17+B19</f>
        <v>16</v>
      </c>
      <c r="C20" s="30" t="s">
        <v>8</v>
      </c>
      <c r="D20" s="45"/>
      <c r="E20" s="9"/>
      <c r="F20" s="9"/>
      <c r="G20" s="9"/>
      <c r="H20" s="9"/>
      <c r="I20" s="31"/>
    </row>
    <row r="21" spans="1:9" ht="13.5" thickBot="1">
      <c r="A21" s="29" t="s">
        <v>102</v>
      </c>
      <c r="B21" s="18">
        <f>B20+E2/2</f>
        <v>24</v>
      </c>
      <c r="C21" s="30" t="s">
        <v>8</v>
      </c>
      <c r="D21" s="46" t="s">
        <v>294</v>
      </c>
      <c r="E21" s="27"/>
      <c r="F21" s="27"/>
      <c r="G21" s="27"/>
      <c r="H21" s="27"/>
      <c r="I21" s="28"/>
    </row>
    <row r="22" spans="1:9" ht="13.5" thickBot="1">
      <c r="A22" s="29" t="s">
        <v>103</v>
      </c>
      <c r="B22" s="18">
        <f>B20+E3/2</f>
        <v>24</v>
      </c>
      <c r="C22" s="9" t="s">
        <v>8</v>
      </c>
      <c r="D22" s="45" t="s">
        <v>295</v>
      </c>
      <c r="E22" s="263">
        <v>50.5</v>
      </c>
      <c r="F22" s="9" t="s">
        <v>129</v>
      </c>
      <c r="G22" s="9" t="s">
        <v>296</v>
      </c>
      <c r="H22" s="9"/>
      <c r="I22" s="31"/>
    </row>
    <row r="23" spans="1:9" ht="12.75">
      <c r="A23" s="41" t="s">
        <v>19</v>
      </c>
      <c r="B23" s="88">
        <f>B3-B21*0.001</f>
        <v>0.126</v>
      </c>
      <c r="C23" s="16" t="s">
        <v>18</v>
      </c>
      <c r="D23" s="32" t="s">
        <v>293</v>
      </c>
      <c r="E23" s="142">
        <f>B4</f>
        <v>3.6</v>
      </c>
      <c r="F23" s="3" t="s">
        <v>1</v>
      </c>
      <c r="G23" s="3" t="s">
        <v>297</v>
      </c>
      <c r="H23" s="3"/>
      <c r="I23" s="33"/>
    </row>
    <row r="24" ht="12.75"/>
    <row r="25" spans="1:9" ht="12.75">
      <c r="A25" s="143" t="s">
        <v>224</v>
      </c>
      <c r="B25" s="144"/>
      <c r="C25" s="144"/>
      <c r="D25" s="144"/>
      <c r="E25" s="144"/>
      <c r="F25" s="144"/>
      <c r="G25" s="144"/>
      <c r="H25" s="145" t="s">
        <v>352</v>
      </c>
      <c r="I25" s="146">
        <f>IF(E11="žebírkový",1,0.5)</f>
        <v>1</v>
      </c>
    </row>
    <row r="26" spans="1:9" ht="12.75">
      <c r="A26" s="147" t="s">
        <v>353</v>
      </c>
      <c r="B26" s="132">
        <v>0</v>
      </c>
      <c r="C26" s="132"/>
      <c r="D26" s="132"/>
      <c r="E26" s="148" t="s">
        <v>354</v>
      </c>
      <c r="F26" s="149">
        <f>E9/B27</f>
        <v>7.2727272727272725</v>
      </c>
      <c r="G26" s="132"/>
      <c r="H26" s="150" t="s">
        <v>352</v>
      </c>
      <c r="I26" s="151">
        <v>1</v>
      </c>
    </row>
    <row r="27" spans="1:9" ht="12.75">
      <c r="A27" s="131" t="s">
        <v>202</v>
      </c>
      <c r="B27" s="132">
        <f>B9/(1+B26)</f>
        <v>27500</v>
      </c>
      <c r="C27" s="132" t="s">
        <v>17</v>
      </c>
      <c r="D27" s="132"/>
      <c r="E27" s="132" t="s">
        <v>211</v>
      </c>
      <c r="F27" s="132">
        <f>B2*1000*B3*1000+F26*(H2+H3)</f>
        <v>370084.992</v>
      </c>
      <c r="G27" s="132" t="s">
        <v>88</v>
      </c>
      <c r="H27" s="150" t="s">
        <v>355</v>
      </c>
      <c r="I27" s="133">
        <f>1-I25*I26*(D37/E22)^2</f>
        <v>0.8676512635441256</v>
      </c>
    </row>
    <row r="28" spans="1:9" ht="12.75">
      <c r="A28" s="131"/>
      <c r="B28" s="132"/>
      <c r="C28" s="132"/>
      <c r="D28" s="132"/>
      <c r="E28" s="132"/>
      <c r="F28" s="132"/>
      <c r="G28" s="132"/>
      <c r="H28" s="132"/>
      <c r="I28" s="133"/>
    </row>
    <row r="29" spans="1:9" ht="12.75">
      <c r="A29" s="131"/>
      <c r="B29" s="132"/>
      <c r="C29" s="152"/>
      <c r="D29" s="153" t="s">
        <v>206</v>
      </c>
      <c r="E29" s="154"/>
      <c r="F29" s="152"/>
      <c r="G29" s="153" t="s">
        <v>207</v>
      </c>
      <c r="H29" s="152"/>
      <c r="I29" s="133"/>
    </row>
    <row r="30" spans="1:9" ht="12.75">
      <c r="A30" s="131"/>
      <c r="B30" s="132"/>
      <c r="C30" s="132"/>
      <c r="D30" s="132"/>
      <c r="E30" s="133"/>
      <c r="F30" s="132" t="s">
        <v>108</v>
      </c>
      <c r="G30" s="132">
        <f>(F26*(H2+H3))^2+2*B2*1000*(F26*H3*B22+F26*H2*B23*1000)</f>
        <v>9824793409.880064</v>
      </c>
      <c r="H30" s="132"/>
      <c r="I30" s="133"/>
    </row>
    <row r="31" spans="1:9" ht="12.75">
      <c r="A31" s="131"/>
      <c r="B31" s="132"/>
      <c r="C31" s="132"/>
      <c r="D31" s="132"/>
      <c r="E31" s="133"/>
      <c r="F31" s="132" t="s">
        <v>204</v>
      </c>
      <c r="G31" s="132">
        <f>(-(F26*(H2+H3))+SQRT(G30))/(B2*1000)</f>
        <v>35.184366056446876</v>
      </c>
      <c r="H31" s="132" t="s">
        <v>8</v>
      </c>
      <c r="I31" s="133"/>
    </row>
    <row r="32" spans="1:9" ht="12.75">
      <c r="A32" s="131"/>
      <c r="B32" s="132"/>
      <c r="C32" s="132"/>
      <c r="D32" s="132"/>
      <c r="E32" s="133"/>
      <c r="F32" s="132" t="s">
        <v>205</v>
      </c>
      <c r="G32" s="132">
        <f>(-(F26*(H2+H3))-SQRT(G30))/(B2*1000)</f>
        <v>-48.81571520898925</v>
      </c>
      <c r="H32" s="132" t="s">
        <v>8</v>
      </c>
      <c r="I32" s="133"/>
    </row>
    <row r="33" spans="1:9" ht="12.75">
      <c r="A33" s="131" t="s">
        <v>215</v>
      </c>
      <c r="B33" s="132"/>
      <c r="C33" s="132" t="s">
        <v>200</v>
      </c>
      <c r="D33" s="155">
        <f>(F26*H3*B22+F26*H2*B23*1000+1/2*B2*1000*(B3*1000)^2)/(F26*(H2+H3)+B2*1000*B3*1000)</f>
        <v>77.21661134532036</v>
      </c>
      <c r="E33" s="133" t="s">
        <v>8</v>
      </c>
      <c r="F33" s="132" t="s">
        <v>203</v>
      </c>
      <c r="G33" s="155">
        <f>IF(G31&gt;G32,G31,G32)</f>
        <v>35.184366056446876</v>
      </c>
      <c r="H33" s="132" t="s">
        <v>8</v>
      </c>
      <c r="I33" s="133"/>
    </row>
    <row r="34" spans="1:9" ht="12.75">
      <c r="A34" s="131" t="s">
        <v>221</v>
      </c>
      <c r="B34" s="132"/>
      <c r="C34" s="132" t="s">
        <v>210</v>
      </c>
      <c r="D34" s="156">
        <f>1/3*B2*1000*D33^3++F26*H3*(D33-B22)^2+F26*H2*(B23*1000-D33)^2+1/3*B2*1000*(B3*1000-D33)^3</f>
        <v>703768701.228414</v>
      </c>
      <c r="E34" s="133" t="s">
        <v>209</v>
      </c>
      <c r="F34" s="132" t="s">
        <v>208</v>
      </c>
      <c r="G34" s="156">
        <f>1/3*B2*1000*G33^3+F26*H3*(G33-B22)^2+F26*H2*(B23*1000-G33)^2</f>
        <v>166924787.83958784</v>
      </c>
      <c r="H34" s="132" t="s">
        <v>209</v>
      </c>
      <c r="I34" s="133"/>
    </row>
    <row r="35" spans="1:9" ht="12.75">
      <c r="A35" s="131" t="s">
        <v>220</v>
      </c>
      <c r="B35" s="132"/>
      <c r="C35" s="132" t="s">
        <v>217</v>
      </c>
      <c r="D35" s="156">
        <f>B27*D34</f>
        <v>19353639283781.387</v>
      </c>
      <c r="E35" s="133" t="s">
        <v>219</v>
      </c>
      <c r="F35" s="132" t="s">
        <v>218</v>
      </c>
      <c r="G35" s="156">
        <f>B27*G34</f>
        <v>4590431665588.666</v>
      </c>
      <c r="H35" s="132" t="s">
        <v>219</v>
      </c>
      <c r="I35" s="133"/>
    </row>
    <row r="36" spans="1:9" ht="12.75">
      <c r="A36" s="131" t="s">
        <v>216</v>
      </c>
      <c r="B36" s="132"/>
      <c r="C36" s="132" t="s">
        <v>212</v>
      </c>
      <c r="D36" s="156">
        <f>1/D35</f>
        <v>5.166986866589033E-14</v>
      </c>
      <c r="E36" s="133" t="s">
        <v>214</v>
      </c>
      <c r="F36" s="132" t="s">
        <v>213</v>
      </c>
      <c r="G36" s="156">
        <f>1/G35</f>
        <v>2.1784443661286098E-13</v>
      </c>
      <c r="H36" s="132" t="s">
        <v>214</v>
      </c>
      <c r="I36" s="133"/>
    </row>
    <row r="37" spans="1:9" ht="12.75">
      <c r="A37" s="131" t="s">
        <v>232</v>
      </c>
      <c r="B37" s="132"/>
      <c r="C37" s="132" t="s">
        <v>222</v>
      </c>
      <c r="D37" s="132">
        <f>(B8*D34/(B3*1000-D33))*0.000001</f>
        <v>18.371781762980795</v>
      </c>
      <c r="E37" s="133" t="s">
        <v>129</v>
      </c>
      <c r="F37" s="132"/>
      <c r="G37" s="132"/>
      <c r="H37" s="132"/>
      <c r="I37" s="133"/>
    </row>
    <row r="38" spans="1:9" ht="12.75">
      <c r="A38" s="157" t="s">
        <v>299</v>
      </c>
      <c r="B38" s="152"/>
      <c r="C38" s="152" t="s">
        <v>300</v>
      </c>
      <c r="D38" s="158">
        <f>D37*1000*D36*1000000</f>
        <v>0.0009492675508516168</v>
      </c>
      <c r="E38" s="154" t="s">
        <v>301</v>
      </c>
      <c r="F38" s="152" t="s">
        <v>302</v>
      </c>
      <c r="G38" s="158">
        <f>E22*1000*((1-I27)*D36*1000000+I27*G36*1000000)</f>
        <v>0.009890497846955917</v>
      </c>
      <c r="H38" s="152" t="s">
        <v>301</v>
      </c>
      <c r="I38" s="154"/>
    </row>
    <row r="39" spans="1:9" ht="12.75">
      <c r="A39" s="46" t="s">
        <v>225</v>
      </c>
      <c r="B39" s="27"/>
      <c r="C39" s="27"/>
      <c r="D39" s="27"/>
      <c r="E39" s="27"/>
      <c r="F39" s="27"/>
      <c r="G39" s="27"/>
      <c r="H39" s="48" t="s">
        <v>298</v>
      </c>
      <c r="I39" s="159">
        <f>IF(E11="žebírkový",1,0.5)</f>
        <v>1</v>
      </c>
    </row>
    <row r="40" spans="1:9" ht="12.75">
      <c r="A40" s="36" t="s">
        <v>223</v>
      </c>
      <c r="B40" s="250">
        <v>2.5</v>
      </c>
      <c r="C40" s="9"/>
      <c r="D40" s="9"/>
      <c r="E40" s="160" t="s">
        <v>201</v>
      </c>
      <c r="F40" s="73">
        <f>E9/B41</f>
        <v>25.454545454545457</v>
      </c>
      <c r="G40" s="9"/>
      <c r="H40" s="48" t="s">
        <v>298</v>
      </c>
      <c r="I40" s="31">
        <v>0.5</v>
      </c>
    </row>
    <row r="41" spans="1:9" ht="12.75">
      <c r="A41" s="45" t="s">
        <v>202</v>
      </c>
      <c r="B41" s="161">
        <f>B9/(1+B40)</f>
        <v>7857.142857142857</v>
      </c>
      <c r="C41" s="9" t="s">
        <v>17</v>
      </c>
      <c r="D41" s="9"/>
      <c r="E41" s="9" t="s">
        <v>211</v>
      </c>
      <c r="F41" s="9">
        <f>B2*1000*B3*1000+F40*(H2+H3)</f>
        <v>410297.472</v>
      </c>
      <c r="G41" s="9" t="s">
        <v>88</v>
      </c>
      <c r="H41" s="48" t="s">
        <v>332</v>
      </c>
      <c r="I41" s="31">
        <f>1-I39*I40*(D51/E22)^2</f>
        <v>0.9044569541431252</v>
      </c>
    </row>
    <row r="42" spans="1:9" ht="12.75">
      <c r="A42" s="45"/>
      <c r="B42" s="9"/>
      <c r="C42" s="9"/>
      <c r="D42" s="9"/>
      <c r="E42" s="9"/>
      <c r="F42" s="9"/>
      <c r="G42" s="9"/>
      <c r="H42" s="9"/>
      <c r="I42" s="31"/>
    </row>
    <row r="43" spans="1:9" ht="12.75">
      <c r="A43" s="45"/>
      <c r="B43" s="9"/>
      <c r="C43" s="3"/>
      <c r="D43" s="162" t="s">
        <v>206</v>
      </c>
      <c r="E43" s="33"/>
      <c r="F43" s="3"/>
      <c r="G43" s="162" t="s">
        <v>207</v>
      </c>
      <c r="H43" s="3"/>
      <c r="I43" s="31"/>
    </row>
    <row r="44" spans="1:9" ht="12.75">
      <c r="A44" s="45"/>
      <c r="B44" s="9"/>
      <c r="C44" s="9"/>
      <c r="D44" s="9"/>
      <c r="E44" s="31"/>
      <c r="F44" s="9" t="s">
        <v>108</v>
      </c>
      <c r="G44" s="9">
        <f>(F40*(H2+H3))^2+2*B2*1000*(F40*H3*B31+F40*H2*B23*1000)</f>
        <v>36650637901.430786</v>
      </c>
      <c r="H44" s="9"/>
      <c r="I44" s="31"/>
    </row>
    <row r="45" spans="1:9" ht="12.75">
      <c r="A45" s="45"/>
      <c r="B45" s="9"/>
      <c r="C45" s="9"/>
      <c r="D45" s="9"/>
      <c r="E45" s="31"/>
      <c r="F45" s="9" t="s">
        <v>204</v>
      </c>
      <c r="G45" s="9">
        <f>(-(F40*(H2+H3))+SQRT(G44))/(B2*1000)</f>
        <v>57.26529289321763</v>
      </c>
      <c r="H45" s="9" t="s">
        <v>8</v>
      </c>
      <c r="I45" s="31"/>
    </row>
    <row r="46" spans="1:9" ht="12.75">
      <c r="A46" s="45"/>
      <c r="B46" s="9"/>
      <c r="C46" s="9"/>
      <c r="D46" s="9"/>
      <c r="E46" s="31"/>
      <c r="F46" s="9" t="s">
        <v>205</v>
      </c>
      <c r="G46" s="9">
        <f>(-(F40*(H2+H3))-SQRT(G44))/(B2*1000)</f>
        <v>-104.97501492711594</v>
      </c>
      <c r="H46" s="9" t="s">
        <v>8</v>
      </c>
      <c r="I46" s="31"/>
    </row>
    <row r="47" spans="1:9" ht="12.75">
      <c r="A47" s="45" t="s">
        <v>215</v>
      </c>
      <c r="B47" s="9"/>
      <c r="C47" s="9" t="s">
        <v>200</v>
      </c>
      <c r="D47" s="163">
        <f>(F40*H3*B22+F40*H2*B23*1000+1/2*B2*1000*(B3*1000)^2)/(F40*(H2+H3)+B2*1000*B3*1000)</f>
        <v>81.99777909428602</v>
      </c>
      <c r="E47" s="31" t="s">
        <v>8</v>
      </c>
      <c r="F47" s="9" t="s">
        <v>203</v>
      </c>
      <c r="G47" s="163">
        <f>IF(G45&gt;G46,G45,G46)</f>
        <v>57.26529289321763</v>
      </c>
      <c r="H47" s="9" t="s">
        <v>8</v>
      </c>
      <c r="I47" s="31"/>
    </row>
    <row r="48" spans="1:9" ht="12.75">
      <c r="A48" s="45" t="s">
        <v>221</v>
      </c>
      <c r="B48" s="9"/>
      <c r="C48" s="9" t="s">
        <v>210</v>
      </c>
      <c r="D48" s="164">
        <f>1/3*B2*1000*D47^3+F40*H3*(D47-B22)^2+F40*H2*(B23*1000-D47)^2+1/3*B2*1000*(B3*1000-D47)^3</f>
        <v>790087903.7682396</v>
      </c>
      <c r="E48" s="31" t="s">
        <v>209</v>
      </c>
      <c r="F48" s="9" t="s">
        <v>208</v>
      </c>
      <c r="G48" s="164">
        <f>1/3*B2*1000*G47^3+F40*H3*(G47-B22)^2+F40*H2*(B23*1000-G47)^2</f>
        <v>413703965.02107966</v>
      </c>
      <c r="H48" s="9" t="s">
        <v>209</v>
      </c>
      <c r="I48" s="31"/>
    </row>
    <row r="49" spans="1:9" ht="12.75">
      <c r="A49" s="45" t="s">
        <v>220</v>
      </c>
      <c r="B49" s="9"/>
      <c r="C49" s="9" t="s">
        <v>227</v>
      </c>
      <c r="D49" s="164">
        <f>B41*D48</f>
        <v>6207833529607.597</v>
      </c>
      <c r="E49" s="31" t="s">
        <v>219</v>
      </c>
      <c r="F49" s="9" t="s">
        <v>230</v>
      </c>
      <c r="G49" s="164">
        <f>B41*G48</f>
        <v>3250531153737.054</v>
      </c>
      <c r="H49" s="9" t="s">
        <v>219</v>
      </c>
      <c r="I49" s="31"/>
    </row>
    <row r="50" spans="1:9" ht="12.75">
      <c r="A50" s="45" t="s">
        <v>216</v>
      </c>
      <c r="B50" s="9"/>
      <c r="C50" s="9" t="s">
        <v>228</v>
      </c>
      <c r="D50" s="164">
        <f>1/D49</f>
        <v>1.610867938437149E-13</v>
      </c>
      <c r="E50" s="31" t="s">
        <v>214</v>
      </c>
      <c r="F50" s="9" t="s">
        <v>231</v>
      </c>
      <c r="G50" s="164">
        <f>1/G49</f>
        <v>3.076420291650874E-13</v>
      </c>
      <c r="H50" s="9" t="s">
        <v>214</v>
      </c>
      <c r="I50" s="31"/>
    </row>
    <row r="51" spans="1:9" ht="12.75">
      <c r="A51" s="45" t="s">
        <v>232</v>
      </c>
      <c r="B51" s="9"/>
      <c r="C51" s="9" t="s">
        <v>229</v>
      </c>
      <c r="D51" s="9">
        <f>(B8*D48/(B3*1000-D47))*0.000001</f>
        <v>22.075264559977295</v>
      </c>
      <c r="E51" s="31" t="s">
        <v>129</v>
      </c>
      <c r="F51" s="9"/>
      <c r="G51" s="9"/>
      <c r="H51" s="9"/>
      <c r="I51" s="31"/>
    </row>
    <row r="52" spans="1:9" ht="12.75">
      <c r="A52" s="32" t="s">
        <v>299</v>
      </c>
      <c r="B52" s="3"/>
      <c r="C52" s="3" t="s">
        <v>303</v>
      </c>
      <c r="D52" s="165">
        <f>D51*1000*D50*1000000</f>
        <v>0.0035560335912185282</v>
      </c>
      <c r="E52" s="33" t="s">
        <v>301</v>
      </c>
      <c r="F52" s="3" t="s">
        <v>304</v>
      </c>
      <c r="G52" s="165">
        <f>E22*1000*((1-I41)*D50*1000000+I41*G50*1000000)</f>
        <v>0.014828804627608728</v>
      </c>
      <c r="H52" s="3" t="s">
        <v>301</v>
      </c>
      <c r="I52" s="33"/>
    </row>
    <row r="53" spans="1:9" ht="12.75">
      <c r="A53" s="46" t="s">
        <v>226</v>
      </c>
      <c r="B53" s="27"/>
      <c r="C53" s="27"/>
      <c r="D53" s="27"/>
      <c r="E53" s="27"/>
      <c r="F53" s="27"/>
      <c r="G53" s="27"/>
      <c r="H53" s="27"/>
      <c r="I53" s="28"/>
    </row>
    <row r="54" spans="1:9" ht="12.75">
      <c r="A54" s="36" t="s">
        <v>223</v>
      </c>
      <c r="B54" s="250">
        <v>3.1</v>
      </c>
      <c r="C54" s="9"/>
      <c r="D54" s="9"/>
      <c r="E54" s="160" t="s">
        <v>201</v>
      </c>
      <c r="F54" s="73">
        <f>E9/B55</f>
        <v>29.818181818181817</v>
      </c>
      <c r="G54" s="9"/>
      <c r="H54" s="9"/>
      <c r="I54" s="31"/>
    </row>
    <row r="55" spans="1:9" ht="12.75">
      <c r="A55" s="45" t="s">
        <v>202</v>
      </c>
      <c r="B55" s="9">
        <f>B9/(1+B54)</f>
        <v>6707.317073170732</v>
      </c>
      <c r="C55" s="9" t="s">
        <v>17</v>
      </c>
      <c r="D55" s="9"/>
      <c r="E55" s="9" t="s">
        <v>211</v>
      </c>
      <c r="F55" s="9">
        <f>B2*1000*B3*1000+F54*(H2+H3)</f>
        <v>419948.4672</v>
      </c>
      <c r="G55" s="9" t="s">
        <v>88</v>
      </c>
      <c r="H55" s="9"/>
      <c r="I55" s="31"/>
    </row>
    <row r="56" spans="1:9" ht="12.75">
      <c r="A56" s="37" t="s">
        <v>276</v>
      </c>
      <c r="B56" s="250">
        <v>0.0006</v>
      </c>
      <c r="C56" s="9"/>
      <c r="D56" s="9"/>
      <c r="E56" s="9"/>
      <c r="F56" s="9"/>
      <c r="G56" s="9"/>
      <c r="H56" s="9"/>
      <c r="I56" s="31"/>
    </row>
    <row r="57" spans="1:9" ht="12.75">
      <c r="A57" s="45"/>
      <c r="B57" s="9"/>
      <c r="C57" s="3"/>
      <c r="D57" s="162" t="s">
        <v>206</v>
      </c>
      <c r="E57" s="33"/>
      <c r="F57" s="3"/>
      <c r="G57" s="162" t="s">
        <v>207</v>
      </c>
      <c r="H57" s="3"/>
      <c r="I57" s="31"/>
    </row>
    <row r="58" spans="1:9" ht="12.75">
      <c r="A58" s="45"/>
      <c r="B58" s="9"/>
      <c r="C58" s="9"/>
      <c r="D58" s="9"/>
      <c r="E58" s="31"/>
      <c r="F58" s="9" t="s">
        <v>108</v>
      </c>
      <c r="G58" s="9">
        <f>(F54*(H2+H3))^2+2*B2*1000*(F54*H3*B45+F54*H2*B23*1000)</f>
        <v>43570072739.21347</v>
      </c>
      <c r="H58" s="9"/>
      <c r="I58" s="31"/>
    </row>
    <row r="59" spans="1:9" ht="12.75">
      <c r="A59" s="45"/>
      <c r="B59" s="9"/>
      <c r="C59" s="9"/>
      <c r="D59" s="9"/>
      <c r="E59" s="31"/>
      <c r="F59" s="9" t="s">
        <v>204</v>
      </c>
      <c r="G59" s="9">
        <f>(-(F54*(H2+H3))+SQRT(G58))/(B2*1000)</f>
        <v>60.50253723898209</v>
      </c>
      <c r="H59" s="9" t="s">
        <v>8</v>
      </c>
      <c r="I59" s="31"/>
    </row>
    <row r="60" spans="1:9" ht="12.75">
      <c r="A60" s="45"/>
      <c r="B60" s="9"/>
      <c r="C60" s="9"/>
      <c r="D60" s="9"/>
      <c r="E60" s="31"/>
      <c r="F60" s="9" t="s">
        <v>205</v>
      </c>
      <c r="G60" s="9">
        <f>(-(F54*(H2+H3))-SQRT(G58))/(B2*1000)</f>
        <v>-116.39106876440583</v>
      </c>
      <c r="H60" s="9" t="s">
        <v>8</v>
      </c>
      <c r="I60" s="31"/>
    </row>
    <row r="61" spans="1:9" ht="12.75">
      <c r="A61" s="45" t="s">
        <v>215</v>
      </c>
      <c r="B61" s="9"/>
      <c r="C61" s="9" t="s">
        <v>200</v>
      </c>
      <c r="D61" s="163">
        <f>(F54*H3*B22+F54*H2*B23*1000+1/2*B2*1000*(B3*1000)^2)/(F54*(H2+H3)+B2*1000*B3*1000)</f>
        <v>83.00901084274751</v>
      </c>
      <c r="E61" s="31" t="s">
        <v>8</v>
      </c>
      <c r="F61" s="9" t="s">
        <v>203</v>
      </c>
      <c r="G61" s="163">
        <f>IF(G59&gt;G60,G59,G60)</f>
        <v>60.50253723898209</v>
      </c>
      <c r="H61" s="9" t="s">
        <v>8</v>
      </c>
      <c r="I61" s="31"/>
    </row>
    <row r="62" spans="1:9" ht="12.75">
      <c r="A62" s="45" t="s">
        <v>291</v>
      </c>
      <c r="B62" s="9"/>
      <c r="C62" s="9" t="s">
        <v>292</v>
      </c>
      <c r="D62" s="163">
        <f>10^3*(E18+F54*E19)/(F55*10^-6)</f>
        <v>83.00901084274751</v>
      </c>
      <c r="E62" s="31" t="s">
        <v>8</v>
      </c>
      <c r="F62" s="18" t="s">
        <v>290</v>
      </c>
      <c r="G62" s="163">
        <f>10^3*H17</f>
        <v>126</v>
      </c>
      <c r="H62" s="18" t="s">
        <v>8</v>
      </c>
      <c r="I62" s="31"/>
    </row>
    <row r="63" spans="1:9" ht="12.75">
      <c r="A63" s="45" t="s">
        <v>221</v>
      </c>
      <c r="B63" s="9"/>
      <c r="C63" s="9" t="s">
        <v>210</v>
      </c>
      <c r="D63" s="164">
        <f>1/3*B2*1000*D61^3+F54*H3*(D61-B45)^2+F54*H2*(B23*1000-D61)^2+1/3*B2*1000*(B3*1000-D61)^3</f>
        <v>808344681.7549635</v>
      </c>
      <c r="E63" s="31" t="s">
        <v>209</v>
      </c>
      <c r="F63" s="9" t="s">
        <v>208</v>
      </c>
      <c r="G63" s="164">
        <f>1/3*B2*1000*G61^3+F54*H3*(G61-B22)^2+F54*H2*(B23*1000-G61)^2</f>
        <v>457138908.39440113</v>
      </c>
      <c r="H63" s="9" t="s">
        <v>209</v>
      </c>
      <c r="I63" s="31"/>
    </row>
    <row r="64" spans="1:9" ht="12.75">
      <c r="A64" s="32" t="s">
        <v>299</v>
      </c>
      <c r="B64" s="3"/>
      <c r="C64" s="3" t="s">
        <v>305</v>
      </c>
      <c r="D64" s="165">
        <f>B56*F54*(E19-H2*0.000001*D62*0.001)/(D63*0.000000000001)</f>
        <v>0.0021044412629849366</v>
      </c>
      <c r="E64" s="33" t="s">
        <v>301</v>
      </c>
      <c r="F64" s="3" t="s">
        <v>306</v>
      </c>
      <c r="G64" s="165">
        <f>B56*F54*(E19-H2*0.000001*G61*0.001)/(G63*0.000000000001)</f>
        <v>0.005669336643974598</v>
      </c>
      <c r="H64" s="3" t="s">
        <v>301</v>
      </c>
      <c r="I64" s="33"/>
    </row>
    <row r="65" spans="1:9" ht="12.75">
      <c r="A65" s="49"/>
      <c r="B65" s="9"/>
      <c r="C65" s="9"/>
      <c r="D65" s="164"/>
      <c r="E65" s="9"/>
      <c r="F65" s="9"/>
      <c r="G65" s="164"/>
      <c r="H65" s="9"/>
      <c r="I65" s="9"/>
    </row>
    <row r="66" spans="1:9" ht="12.75">
      <c r="A66" s="46" t="s">
        <v>307</v>
      </c>
      <c r="B66" s="27"/>
      <c r="C66" s="166" t="s">
        <v>308</v>
      </c>
      <c r="D66" s="167">
        <f>5/48*G52*B4^2*1000</f>
        <v>20.018886247271787</v>
      </c>
      <c r="E66" s="27" t="s">
        <v>8</v>
      </c>
      <c r="F66" s="168" t="s">
        <v>309</v>
      </c>
      <c r="G66" s="168"/>
      <c r="H66" s="27"/>
      <c r="I66" s="28"/>
    </row>
    <row r="67" spans="1:9" ht="13.5" thickBot="1">
      <c r="A67" s="45"/>
      <c r="B67" s="9"/>
      <c r="C67" s="169" t="s">
        <v>310</v>
      </c>
      <c r="D67" s="170">
        <f>1/8*G64*B4^2*1000</f>
        <v>9.184325363238848</v>
      </c>
      <c r="E67" s="9" t="s">
        <v>8</v>
      </c>
      <c r="F67" s="164" t="s">
        <v>311</v>
      </c>
      <c r="G67" s="9"/>
      <c r="H67" s="9"/>
      <c r="I67" s="31"/>
    </row>
    <row r="68" spans="1:9" s="83" customFormat="1" ht="14.25" thickBot="1" thickTop="1">
      <c r="A68" s="171"/>
      <c r="B68" s="51" t="s">
        <v>312</v>
      </c>
      <c r="C68" s="172" t="s">
        <v>313</v>
      </c>
      <c r="D68" s="173">
        <f>SUM(D66:D67)</f>
        <v>29.203211610510635</v>
      </c>
      <c r="E68" s="174" t="s">
        <v>8</v>
      </c>
      <c r="F68" s="175" t="s">
        <v>314</v>
      </c>
      <c r="G68" s="176" t="s">
        <v>315</v>
      </c>
      <c r="H68" s="177">
        <f>1/250*B4*1000</f>
        <v>14.400000000000002</v>
      </c>
      <c r="I68" s="178" t="s">
        <v>8</v>
      </c>
    </row>
    <row r="69" ht="13.5" thickTop="1"/>
    <row r="70" spans="1:9" ht="12.75">
      <c r="A70" s="46" t="s">
        <v>316</v>
      </c>
      <c r="B70" s="27"/>
      <c r="C70" s="27"/>
      <c r="D70" s="27"/>
      <c r="E70" s="27"/>
      <c r="F70" s="27"/>
      <c r="G70" s="27"/>
      <c r="H70" s="27"/>
      <c r="I70" s="28"/>
    </row>
    <row r="71" spans="1:9" ht="12.75">
      <c r="A71" s="36" t="s">
        <v>317</v>
      </c>
      <c r="B71" s="73">
        <f>D51*10^6/G48*F40*(B23*1000-G47)</f>
        <v>93.35931711285573</v>
      </c>
      <c r="C71" s="9" t="s">
        <v>17</v>
      </c>
      <c r="D71" s="48" t="s">
        <v>298</v>
      </c>
      <c r="E71" s="170">
        <f>IF(E11="žebírkový",1,0.5)</f>
        <v>1</v>
      </c>
      <c r="F71" s="9" t="s">
        <v>318</v>
      </c>
      <c r="G71" s="9">
        <f>E9</f>
        <v>200000</v>
      </c>
      <c r="H71" s="9" t="s">
        <v>17</v>
      </c>
      <c r="I71" s="31"/>
    </row>
    <row r="72" spans="1:9" ht="12.75">
      <c r="A72" s="36" t="s">
        <v>319</v>
      </c>
      <c r="B72" s="73">
        <f>E22*10^6/G48*F40*(B23*1000-G47)</f>
        <v>213.57141616082467</v>
      </c>
      <c r="C72" s="9" t="s">
        <v>17</v>
      </c>
      <c r="D72" s="48" t="s">
        <v>298</v>
      </c>
      <c r="E72" s="9">
        <v>0.5</v>
      </c>
      <c r="F72" s="179" t="s">
        <v>320</v>
      </c>
      <c r="G72" s="86">
        <f>B72/G71*(1-E71*E72*(B71/B72)^2)</f>
        <v>0.0009658307627642667</v>
      </c>
      <c r="H72" s="82" t="s">
        <v>334</v>
      </c>
      <c r="I72" s="82"/>
    </row>
    <row r="73" spans="1:9" ht="12.75">
      <c r="A73" s="45"/>
      <c r="B73" s="9"/>
      <c r="C73" s="9"/>
      <c r="D73" s="9"/>
      <c r="E73" s="9"/>
      <c r="F73" s="9"/>
      <c r="G73" s="9"/>
      <c r="H73" s="9"/>
      <c r="I73" s="31"/>
    </row>
    <row r="74" spans="1:9" ht="12.75">
      <c r="A74" s="36" t="s">
        <v>333</v>
      </c>
      <c r="B74" s="9">
        <f>E2</f>
        <v>16</v>
      </c>
      <c r="C74" s="9" t="s">
        <v>8</v>
      </c>
      <c r="D74" s="9" t="s">
        <v>321</v>
      </c>
      <c r="E74" s="170">
        <f>IF(E11="žebírkový",0.8,0.6)</f>
        <v>0.8</v>
      </c>
      <c r="F74" s="48" t="s">
        <v>322</v>
      </c>
      <c r="G74" s="9">
        <f>H2*10^-6/B75</f>
        <v>0.01561925423728814</v>
      </c>
      <c r="H74" s="9"/>
      <c r="I74" s="31"/>
    </row>
    <row r="75" spans="1:9" ht="12.75">
      <c r="A75" s="180" t="s">
        <v>323</v>
      </c>
      <c r="B75" s="9">
        <f>2.5*(B3-B23)*B2</f>
        <v>0.14159999999999995</v>
      </c>
      <c r="C75" s="9" t="s">
        <v>281</v>
      </c>
      <c r="D75" s="9" t="s">
        <v>324</v>
      </c>
      <c r="E75" s="250">
        <v>0.5</v>
      </c>
      <c r="F75" s="181" t="s">
        <v>325</v>
      </c>
      <c r="G75" s="182">
        <f>50+0.25*E74*E75*B74/G74</f>
        <v>152.43766928258904</v>
      </c>
      <c r="H75" s="182" t="s">
        <v>8</v>
      </c>
      <c r="I75" s="82" t="s">
        <v>326</v>
      </c>
    </row>
    <row r="76" spans="1:9" ht="13.5" thickBot="1">
      <c r="A76" s="45"/>
      <c r="B76" s="9"/>
      <c r="C76" s="9"/>
      <c r="D76" s="9"/>
      <c r="E76" s="9"/>
      <c r="F76" s="9"/>
      <c r="G76" s="9"/>
      <c r="H76" s="9"/>
      <c r="I76" s="31"/>
    </row>
    <row r="77" spans="1:9" ht="14.25" thickBot="1" thickTop="1">
      <c r="A77" s="183" t="s">
        <v>327</v>
      </c>
      <c r="B77" s="250">
        <v>1.7</v>
      </c>
      <c r="C77" s="3"/>
      <c r="D77" s="172" t="s">
        <v>328</v>
      </c>
      <c r="E77" s="184">
        <f>B77*G75*G72</f>
        <v>0.250289283675257</v>
      </c>
      <c r="F77" s="174" t="s">
        <v>8</v>
      </c>
      <c r="G77" s="13" t="s">
        <v>314</v>
      </c>
      <c r="H77" s="3" t="s">
        <v>329</v>
      </c>
      <c r="I77" s="185">
        <v>0.3</v>
      </c>
    </row>
    <row r="78" spans="1:9" ht="13.5" thickTop="1">
      <c r="A78" s="1" t="s">
        <v>350</v>
      </c>
      <c r="D78" s="186"/>
      <c r="G78" s="186"/>
      <c r="I78" s="65">
        <f ca="1">TODAY()</f>
        <v>39963</v>
      </c>
    </row>
    <row r="79" spans="1:9" ht="12.75">
      <c r="A79" s="1" t="s">
        <v>393</v>
      </c>
      <c r="D79" s="186"/>
      <c r="G79" s="186"/>
      <c r="I79" s="67" t="s">
        <v>371</v>
      </c>
    </row>
    <row r="80" spans="1:9" ht="12.75">
      <c r="A80" s="308" t="s">
        <v>373</v>
      </c>
      <c r="B80" s="308"/>
      <c r="C80" s="308"/>
      <c r="D80" s="308"/>
      <c r="E80" s="308"/>
      <c r="F80" s="308"/>
      <c r="G80" s="308"/>
      <c r="H80" s="308"/>
      <c r="I80" s="308"/>
    </row>
  </sheetData>
  <mergeCells count="1">
    <mergeCell ref="A80:I80"/>
  </mergeCells>
  <hyperlinks>
    <hyperlink ref="I79" r:id="rId1" display="http://www.pro-eng.com/"/>
  </hyperlink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240" verticalDpi="240" orientation="portrait" paperSize="9" scale="69" r:id="rId4"/>
  <headerFooter alignWithMargins="0">
    <oddHeader>&amp;CPosouzení betonových prvků dle EuroCode 2</oddHead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F19"/>
  <sheetViews>
    <sheetView showGridLines="0" zoomScale="80" zoomScaleNormal="80" workbookViewId="0" topLeftCell="A1">
      <selection activeCell="B8" sqref="B8"/>
    </sheetView>
  </sheetViews>
  <sheetFormatPr defaultColWidth="9.140625" defaultRowHeight="12.75"/>
  <cols>
    <col min="1" max="1" width="11.140625" style="1" customWidth="1"/>
    <col min="2" max="2" width="11.7109375" style="1" customWidth="1"/>
    <col min="3" max="3" width="12.140625" style="1" customWidth="1"/>
    <col min="4" max="4" width="11.421875" style="1" customWidth="1"/>
    <col min="5" max="5" width="11.140625" style="1" customWidth="1"/>
    <col min="6" max="16384" width="9.140625" style="1" customWidth="1"/>
  </cols>
  <sheetData>
    <row r="1" spans="1:6" ht="12.75">
      <c r="A1" s="22" t="s">
        <v>3</v>
      </c>
      <c r="B1" s="34"/>
      <c r="C1" s="35"/>
      <c r="D1" s="22" t="s">
        <v>4</v>
      </c>
      <c r="E1" s="34"/>
      <c r="F1" s="35"/>
    </row>
    <row r="2" spans="1:6" ht="12.75">
      <c r="A2" s="29" t="s">
        <v>6</v>
      </c>
      <c r="B2" s="18"/>
      <c r="C2" s="30"/>
      <c r="D2" s="29" t="s">
        <v>7</v>
      </c>
      <c r="E2" s="18"/>
      <c r="F2" s="30" t="str">
        <f>VLOOKUP(Knihovna!I28,Knihovna!A20:H26,3)</f>
        <v>R</v>
      </c>
    </row>
    <row r="3" spans="1:6" ht="12.75">
      <c r="A3" s="29" t="s">
        <v>9</v>
      </c>
      <c r="B3" s="18">
        <f>VLOOKUP(Knihovna!F15,Knihovna!A5:K13,3)</f>
        <v>20</v>
      </c>
      <c r="C3" s="30" t="s">
        <v>10</v>
      </c>
      <c r="D3" s="29" t="s">
        <v>83</v>
      </c>
      <c r="E3" s="18">
        <f>VLOOKUP(Knihovna!I28,Knihovna!A20:H26,6)</f>
        <v>500</v>
      </c>
      <c r="F3" s="30" t="s">
        <v>10</v>
      </c>
    </row>
    <row r="4" spans="1:6" ht="12.75">
      <c r="A4" s="29" t="s">
        <v>12</v>
      </c>
      <c r="B4" s="18">
        <f>VLOOKUP(Knihovna!F15,Knihovna!A5:K13,5)</f>
        <v>2.2</v>
      </c>
      <c r="C4" s="30" t="s">
        <v>10</v>
      </c>
      <c r="D4" s="9" t="s">
        <v>141</v>
      </c>
      <c r="E4" s="9">
        <f>VLOOKUP(Knihovna!I28,Knihovna!A20:H26,7)</f>
        <v>550</v>
      </c>
      <c r="F4" s="31" t="s">
        <v>10</v>
      </c>
    </row>
    <row r="5" spans="1:6" ht="12.75">
      <c r="A5" s="45" t="s">
        <v>197</v>
      </c>
      <c r="B5" s="9">
        <f>VLOOKUP(Knihovna!F15,Knihovna!A5:K13,6)</f>
        <v>1.5</v>
      </c>
      <c r="C5" s="9" t="s">
        <v>10</v>
      </c>
      <c r="D5" s="29" t="s">
        <v>13</v>
      </c>
      <c r="E5" s="247">
        <v>200000</v>
      </c>
      <c r="F5" s="30" t="s">
        <v>17</v>
      </c>
    </row>
    <row r="6" spans="1:6" ht="12.75">
      <c r="A6" s="29" t="s">
        <v>15</v>
      </c>
      <c r="B6" s="18">
        <f>1000*(VLOOKUP(Knihovna!F15,Knihovna!A5:K13,8))</f>
        <v>29000</v>
      </c>
      <c r="C6" s="30" t="s">
        <v>17</v>
      </c>
      <c r="D6" s="29" t="s">
        <v>99</v>
      </c>
      <c r="E6" s="18" t="str">
        <f>VLOOKUP(Knihovna!I28,Knihovna!A20:H26,4)</f>
        <v>8-36</v>
      </c>
      <c r="F6" s="30" t="s">
        <v>8</v>
      </c>
    </row>
    <row r="7" spans="1:6" ht="12.75">
      <c r="A7" s="36" t="s">
        <v>138</v>
      </c>
      <c r="B7" s="9">
        <f>VLOOKUP(Knihovna!F15,Knihovna!A5:K13,11)</f>
        <v>0.39</v>
      </c>
      <c r="C7" s="30" t="s">
        <v>17</v>
      </c>
      <c r="D7" s="29" t="s">
        <v>98</v>
      </c>
      <c r="E7" s="18" t="str">
        <f>VLOOKUP(Knihovna!I28,Knihovna!A20:H26,5)</f>
        <v>žebírkový</v>
      </c>
      <c r="F7" s="30"/>
    </row>
    <row r="8" spans="1:6" ht="12.75">
      <c r="A8" s="37" t="s">
        <v>133</v>
      </c>
      <c r="B8" s="247">
        <v>1</v>
      </c>
      <c r="C8" s="43"/>
      <c r="D8" s="48" t="s">
        <v>100</v>
      </c>
      <c r="E8" s="9">
        <f>VLOOKUP(Knihovna!J52,Knihovna!A33:B50,2)</f>
        <v>12</v>
      </c>
      <c r="F8" s="31" t="s">
        <v>8</v>
      </c>
    </row>
    <row r="9" spans="1:6" ht="12.75">
      <c r="A9" s="37" t="s">
        <v>79</v>
      </c>
      <c r="B9" s="247">
        <v>1.5</v>
      </c>
      <c r="C9" s="30"/>
      <c r="D9" s="37" t="s">
        <v>80</v>
      </c>
      <c r="E9" s="247">
        <v>1.15</v>
      </c>
      <c r="F9" s="30"/>
    </row>
    <row r="10" spans="1:6" ht="12.75">
      <c r="A10" s="29" t="s">
        <v>139</v>
      </c>
      <c r="B10" s="38">
        <f>FLOOR(B3/B9,0.01)</f>
        <v>13.33</v>
      </c>
      <c r="C10" s="39" t="s">
        <v>17</v>
      </c>
      <c r="D10" s="29" t="s">
        <v>82</v>
      </c>
      <c r="E10" s="38">
        <f>FLOOR(E3/E9,0.01)</f>
        <v>434.78000000000003</v>
      </c>
      <c r="F10" s="39" t="s">
        <v>17</v>
      </c>
    </row>
    <row r="11" spans="1:6" ht="12.75">
      <c r="A11" s="187" t="s">
        <v>106</v>
      </c>
      <c r="B11" s="247">
        <v>0.0035</v>
      </c>
      <c r="C11" s="42"/>
      <c r="D11" s="187" t="s">
        <v>81</v>
      </c>
      <c r="E11" s="188">
        <f>E10/E5</f>
        <v>0.0021739000000000003</v>
      </c>
      <c r="F11" s="42"/>
    </row>
    <row r="12" ht="12.75"/>
    <row r="13" spans="1:6" ht="12.75">
      <c r="A13" s="46" t="s">
        <v>193</v>
      </c>
      <c r="B13" s="27"/>
      <c r="C13" s="27"/>
      <c r="D13" s="27"/>
      <c r="E13" s="264" t="s">
        <v>364</v>
      </c>
      <c r="F13" s="265" t="s">
        <v>365</v>
      </c>
    </row>
    <row r="14" spans="1:6" ht="13.5" thickBot="1">
      <c r="A14" s="45" t="s">
        <v>194</v>
      </c>
      <c r="B14" s="56">
        <f>IF(E7="hladký",0.36*SQRT(B3/B9),2.25*B5/B9)</f>
        <v>2.25</v>
      </c>
      <c r="C14" s="9" t="s">
        <v>17</v>
      </c>
      <c r="D14" s="9"/>
      <c r="E14" s="9"/>
      <c r="F14" s="31"/>
    </row>
    <row r="15" spans="1:6" ht="17.25" thickBot="1" thickTop="1">
      <c r="A15" s="189" t="s">
        <v>195</v>
      </c>
      <c r="B15" s="190">
        <f>E8*E10/(4*B14)</f>
        <v>579.7066666666667</v>
      </c>
      <c r="C15" s="63" t="s">
        <v>8</v>
      </c>
      <c r="D15" s="191" t="s">
        <v>196</v>
      </c>
      <c r="E15" s="9"/>
      <c r="F15" s="31"/>
    </row>
    <row r="16" spans="1:6" ht="13.5" thickTop="1">
      <c r="A16" s="32" t="s">
        <v>289</v>
      </c>
      <c r="B16" s="3"/>
      <c r="C16" s="3"/>
      <c r="D16" s="3" t="s">
        <v>288</v>
      </c>
      <c r="E16" s="3"/>
      <c r="F16" s="33"/>
    </row>
    <row r="17" spans="1:6" ht="12.75">
      <c r="A17" s="1" t="s">
        <v>359</v>
      </c>
      <c r="F17" s="65">
        <f ca="1">TODAY()</f>
        <v>39963</v>
      </c>
    </row>
    <row r="18" ht="12.75">
      <c r="A18" s="1" t="s">
        <v>358</v>
      </c>
    </row>
    <row r="19" spans="1:6" ht="12.75">
      <c r="A19" s="1" t="s">
        <v>393</v>
      </c>
      <c r="F19" s="67" t="s">
        <v>371</v>
      </c>
    </row>
  </sheetData>
  <hyperlinks>
    <hyperlink ref="F19" r:id="rId1" display="http://www.pro-eng.com/"/>
  </hyperlink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r:id="rId4"/>
  <headerFooter alignWithMargins="0">
    <oddHeader>&amp;CPosouzení betonových prvků dle EuroCode 2</oddHead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W54"/>
  <sheetViews>
    <sheetView showGridLines="0" zoomScale="80" zoomScaleNormal="80" workbookViewId="0" topLeftCell="A1">
      <selection activeCell="B5" sqref="B5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7.28125" style="1" customWidth="1"/>
    <col min="4" max="4" width="10.7109375" style="1" customWidth="1"/>
    <col min="5" max="5" width="9.421875" style="1" customWidth="1"/>
    <col min="6" max="6" width="8.28125" style="1" customWidth="1"/>
    <col min="7" max="7" width="8.421875" style="1" customWidth="1"/>
    <col min="8" max="8" width="8.140625" style="1" customWidth="1"/>
    <col min="9" max="9" width="9.140625" style="1" customWidth="1"/>
    <col min="10" max="11" width="9.421875" style="1" customWidth="1"/>
    <col min="12" max="12" width="8.8515625" style="1" customWidth="1"/>
    <col min="13" max="13" width="9.421875" style="1" customWidth="1"/>
    <col min="14" max="16" width="5.28125" style="1" customWidth="1"/>
    <col min="17" max="17" width="7.28125" style="1" customWidth="1"/>
    <col min="18" max="16384" width="9.140625" style="1" customWidth="1"/>
  </cols>
  <sheetData>
    <row r="1" ht="13.5" thickBot="1">
      <c r="B1" s="192" t="s">
        <v>366</v>
      </c>
    </row>
    <row r="2" spans="2:17" s="193" customFormat="1" ht="12.75">
      <c r="B2" s="194"/>
      <c r="C2" s="195" t="s">
        <v>23</v>
      </c>
      <c r="D2" s="196"/>
      <c r="E2" s="195" t="s">
        <v>24</v>
      </c>
      <c r="F2" s="197"/>
      <c r="G2" s="196"/>
      <c r="H2" s="198"/>
      <c r="I2" s="199" t="s">
        <v>274</v>
      </c>
      <c r="J2" s="200"/>
      <c r="K2" s="201" t="s">
        <v>275</v>
      </c>
      <c r="M2" s="1"/>
      <c r="N2" s="1"/>
      <c r="O2" s="1"/>
      <c r="P2" s="1"/>
      <c r="Q2" s="1"/>
    </row>
    <row r="3" spans="2:17" s="202" customFormat="1" ht="35.25" customHeight="1">
      <c r="B3" s="203" t="s">
        <v>25</v>
      </c>
      <c r="C3" s="204" t="s">
        <v>26</v>
      </c>
      <c r="D3" s="205" t="s">
        <v>27</v>
      </c>
      <c r="E3" s="204" t="s">
        <v>28</v>
      </c>
      <c r="F3" s="206" t="s">
        <v>29</v>
      </c>
      <c r="G3" s="205" t="s">
        <v>30</v>
      </c>
      <c r="H3" s="203" t="s">
        <v>31</v>
      </c>
      <c r="I3" s="204" t="s">
        <v>32</v>
      </c>
      <c r="J3" s="205" t="s">
        <v>33</v>
      </c>
      <c r="K3" s="203" t="s">
        <v>34</v>
      </c>
      <c r="M3" s="1"/>
      <c r="N3" s="1"/>
      <c r="O3" s="1"/>
      <c r="P3" s="1"/>
      <c r="Q3" s="1"/>
    </row>
    <row r="4" spans="2:17" s="193" customFormat="1" ht="12.75">
      <c r="B4" s="207"/>
      <c r="C4" s="208" t="s">
        <v>10</v>
      </c>
      <c r="D4" s="209" t="s">
        <v>10</v>
      </c>
      <c r="E4" s="208" t="s">
        <v>10</v>
      </c>
      <c r="F4" s="210" t="s">
        <v>10</v>
      </c>
      <c r="G4" s="209" t="s">
        <v>10</v>
      </c>
      <c r="H4" s="207" t="s">
        <v>14</v>
      </c>
      <c r="I4" s="211" t="s">
        <v>35</v>
      </c>
      <c r="J4" s="212" t="s">
        <v>35</v>
      </c>
      <c r="K4" s="207" t="s">
        <v>10</v>
      </c>
      <c r="M4" s="1"/>
      <c r="N4" s="1"/>
      <c r="O4" s="1"/>
      <c r="P4" s="1"/>
      <c r="Q4" s="1"/>
    </row>
    <row r="5" spans="1:11" ht="12.75">
      <c r="A5" s="1">
        <v>1</v>
      </c>
      <c r="B5" s="213" t="s">
        <v>36</v>
      </c>
      <c r="C5" s="214">
        <v>12</v>
      </c>
      <c r="D5" s="215">
        <v>20</v>
      </c>
      <c r="E5" s="214">
        <v>1.6</v>
      </c>
      <c r="F5" s="216">
        <v>1.1</v>
      </c>
      <c r="G5" s="215">
        <v>2</v>
      </c>
      <c r="H5" s="217">
        <v>26</v>
      </c>
      <c r="I5" s="214">
        <v>-3.6</v>
      </c>
      <c r="J5" s="215">
        <v>-3.5</v>
      </c>
      <c r="K5" s="217">
        <v>0.27</v>
      </c>
    </row>
    <row r="6" spans="1:11" ht="12.75">
      <c r="A6" s="1">
        <v>2</v>
      </c>
      <c r="B6" s="213" t="s">
        <v>37</v>
      </c>
      <c r="C6" s="214">
        <v>16</v>
      </c>
      <c r="D6" s="215">
        <v>24</v>
      </c>
      <c r="E6" s="214">
        <v>1.9</v>
      </c>
      <c r="F6" s="216">
        <v>1.3</v>
      </c>
      <c r="G6" s="215">
        <v>2.5</v>
      </c>
      <c r="H6" s="217">
        <v>27.5</v>
      </c>
      <c r="I6" s="214">
        <v>-3.5</v>
      </c>
      <c r="J6" s="215">
        <v>-3.5</v>
      </c>
      <c r="K6" s="217">
        <v>0.33</v>
      </c>
    </row>
    <row r="7" spans="1:11" ht="12.75">
      <c r="A7" s="1">
        <v>3</v>
      </c>
      <c r="B7" s="213" t="s">
        <v>38</v>
      </c>
      <c r="C7" s="214">
        <v>20</v>
      </c>
      <c r="D7" s="215">
        <v>28</v>
      </c>
      <c r="E7" s="214">
        <v>2.2</v>
      </c>
      <c r="F7" s="216">
        <v>1.5</v>
      </c>
      <c r="G7" s="215">
        <v>2.9</v>
      </c>
      <c r="H7" s="217">
        <v>29</v>
      </c>
      <c r="I7" s="214">
        <v>-3.4</v>
      </c>
      <c r="J7" s="215">
        <v>-3.5</v>
      </c>
      <c r="K7" s="217">
        <v>0.39</v>
      </c>
    </row>
    <row r="8" spans="1:11" ht="12.75">
      <c r="A8" s="1">
        <v>4</v>
      </c>
      <c r="B8" s="213" t="s">
        <v>39</v>
      </c>
      <c r="C8" s="214">
        <v>25</v>
      </c>
      <c r="D8" s="215">
        <v>33</v>
      </c>
      <c r="E8" s="214">
        <v>2.6</v>
      </c>
      <c r="F8" s="216">
        <v>1.8</v>
      </c>
      <c r="G8" s="215">
        <v>3.3</v>
      </c>
      <c r="H8" s="217">
        <v>30.5</v>
      </c>
      <c r="I8" s="214">
        <v>-3.3</v>
      </c>
      <c r="J8" s="215">
        <v>-3.5</v>
      </c>
      <c r="K8" s="217">
        <v>0.45</v>
      </c>
    </row>
    <row r="9" spans="1:11" ht="12.75">
      <c r="A9" s="1">
        <v>5</v>
      </c>
      <c r="B9" s="213" t="s">
        <v>40</v>
      </c>
      <c r="C9" s="214">
        <v>30</v>
      </c>
      <c r="D9" s="215">
        <v>38</v>
      </c>
      <c r="E9" s="214">
        <v>2.9</v>
      </c>
      <c r="F9" s="216">
        <v>2</v>
      </c>
      <c r="G9" s="215">
        <v>3.8</v>
      </c>
      <c r="H9" s="217">
        <v>32</v>
      </c>
      <c r="I9" s="214">
        <v>-3.2</v>
      </c>
      <c r="J9" s="215">
        <v>-3.5</v>
      </c>
      <c r="K9" s="217">
        <v>0.51</v>
      </c>
    </row>
    <row r="10" spans="1:11" ht="12.75">
      <c r="A10" s="1">
        <v>6</v>
      </c>
      <c r="B10" s="213" t="s">
        <v>41</v>
      </c>
      <c r="C10" s="214">
        <v>35</v>
      </c>
      <c r="D10" s="215">
        <v>43</v>
      </c>
      <c r="E10" s="214">
        <v>3.2</v>
      </c>
      <c r="F10" s="216">
        <v>2.2</v>
      </c>
      <c r="G10" s="215">
        <v>4.2</v>
      </c>
      <c r="H10" s="217">
        <v>33.5</v>
      </c>
      <c r="I10" s="214">
        <v>-3.1</v>
      </c>
      <c r="J10" s="215">
        <v>-3.5</v>
      </c>
      <c r="K10" s="217">
        <v>0.555</v>
      </c>
    </row>
    <row r="11" spans="1:11" ht="12.75">
      <c r="A11" s="1">
        <v>7</v>
      </c>
      <c r="B11" s="213" t="s">
        <v>42</v>
      </c>
      <c r="C11" s="214">
        <v>40</v>
      </c>
      <c r="D11" s="215">
        <v>48</v>
      </c>
      <c r="E11" s="214">
        <v>3.5</v>
      </c>
      <c r="F11" s="216">
        <v>2.5</v>
      </c>
      <c r="G11" s="215">
        <v>4.6</v>
      </c>
      <c r="H11" s="217">
        <v>35</v>
      </c>
      <c r="I11" s="214">
        <v>-3</v>
      </c>
      <c r="J11" s="215">
        <v>-3.5</v>
      </c>
      <c r="K11" s="217">
        <v>0.615</v>
      </c>
    </row>
    <row r="12" spans="1:11" ht="12.75">
      <c r="A12" s="1">
        <v>8</v>
      </c>
      <c r="B12" s="213" t="s">
        <v>43</v>
      </c>
      <c r="C12" s="214">
        <v>45</v>
      </c>
      <c r="D12" s="215">
        <v>53</v>
      </c>
      <c r="E12" s="214">
        <v>3.8</v>
      </c>
      <c r="F12" s="216">
        <v>2.7</v>
      </c>
      <c r="G12" s="215">
        <v>4.9</v>
      </c>
      <c r="H12" s="217">
        <v>36</v>
      </c>
      <c r="I12" s="214">
        <v>-2.9</v>
      </c>
      <c r="J12" s="215">
        <v>-3.5</v>
      </c>
      <c r="K12" s="217">
        <v>0.66</v>
      </c>
    </row>
    <row r="13" spans="1:11" ht="13.5" thickBot="1">
      <c r="A13" s="1">
        <v>9</v>
      </c>
      <c r="B13" s="218" t="s">
        <v>44</v>
      </c>
      <c r="C13" s="219">
        <v>50</v>
      </c>
      <c r="D13" s="220">
        <v>58</v>
      </c>
      <c r="E13" s="219">
        <v>4.1</v>
      </c>
      <c r="F13" s="221">
        <v>2.9</v>
      </c>
      <c r="G13" s="220">
        <v>5.3</v>
      </c>
      <c r="H13" s="222">
        <v>37</v>
      </c>
      <c r="I13" s="219">
        <v>-2.8</v>
      </c>
      <c r="J13" s="220">
        <v>-3.5</v>
      </c>
      <c r="K13" s="222">
        <v>0.72</v>
      </c>
    </row>
    <row r="14" spans="2:7" ht="12.75">
      <c r="B14" s="11"/>
      <c r="C14" s="11"/>
      <c r="D14" s="11"/>
      <c r="E14" s="11"/>
      <c r="F14" s="11"/>
      <c r="G14" s="11"/>
    </row>
    <row r="15" spans="2:11" ht="12.75">
      <c r="B15" s="275" t="s">
        <v>45</v>
      </c>
      <c r="C15" s="276">
        <v>3</v>
      </c>
      <c r="D15" s="276">
        <v>3</v>
      </c>
      <c r="E15" s="276">
        <v>5</v>
      </c>
      <c r="F15" s="276">
        <v>3</v>
      </c>
      <c r="G15" s="276">
        <v>2</v>
      </c>
      <c r="H15" s="276">
        <v>3</v>
      </c>
      <c r="I15" s="276"/>
      <c r="J15" s="276"/>
      <c r="K15" s="277"/>
    </row>
    <row r="16" ht="12.75"/>
    <row r="17" ht="13.5" thickBot="1">
      <c r="B17" s="192" t="s">
        <v>367</v>
      </c>
    </row>
    <row r="18" spans="2:23" s="202" customFormat="1" ht="25.5">
      <c r="B18" s="223" t="s">
        <v>46</v>
      </c>
      <c r="C18" s="224" t="s">
        <v>47</v>
      </c>
      <c r="D18" s="224" t="s">
        <v>48</v>
      </c>
      <c r="E18" s="224" t="s">
        <v>49</v>
      </c>
      <c r="F18" s="224" t="s">
        <v>50</v>
      </c>
      <c r="G18" s="224" t="s">
        <v>51</v>
      </c>
      <c r="H18" s="224" t="s">
        <v>52</v>
      </c>
      <c r="I18" s="225" t="s">
        <v>368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193" customFormat="1" ht="12.75">
      <c r="A19" s="226"/>
      <c r="B19" s="227"/>
      <c r="C19" s="228"/>
      <c r="D19" s="228"/>
      <c r="E19" s="228"/>
      <c r="F19" s="228" t="s">
        <v>17</v>
      </c>
      <c r="G19" s="228" t="s">
        <v>17</v>
      </c>
      <c r="H19" s="272"/>
      <c r="I19" s="209" t="s">
        <v>14</v>
      </c>
      <c r="J19" s="226"/>
      <c r="K19" s="226"/>
      <c r="L19" s="2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2" ht="12.75">
      <c r="A20" s="11">
        <v>1</v>
      </c>
      <c r="B20" s="229">
        <v>10216</v>
      </c>
      <c r="C20" s="216" t="s">
        <v>53</v>
      </c>
      <c r="D20" s="278" t="s">
        <v>54</v>
      </c>
      <c r="E20" s="216" t="s">
        <v>55</v>
      </c>
      <c r="F20" s="216">
        <v>206</v>
      </c>
      <c r="G20" s="216">
        <v>539</v>
      </c>
      <c r="H20" s="216" t="s">
        <v>56</v>
      </c>
      <c r="I20" s="215">
        <v>200</v>
      </c>
      <c r="J20" s="11"/>
      <c r="K20" s="11"/>
      <c r="L20" s="11"/>
    </row>
    <row r="21" spans="1:12" ht="12.75">
      <c r="A21" s="11">
        <v>2</v>
      </c>
      <c r="B21" s="229">
        <v>10245</v>
      </c>
      <c r="C21" s="216" t="s">
        <v>57</v>
      </c>
      <c r="D21" s="279" t="s">
        <v>58</v>
      </c>
      <c r="E21" s="216" t="s">
        <v>59</v>
      </c>
      <c r="F21" s="216">
        <v>245</v>
      </c>
      <c r="G21" s="216">
        <v>363</v>
      </c>
      <c r="H21" s="216" t="s">
        <v>56</v>
      </c>
      <c r="I21" s="215">
        <v>200</v>
      </c>
      <c r="J21" s="11"/>
      <c r="K21" s="11"/>
      <c r="L21" s="11"/>
    </row>
    <row r="22" spans="1:12" ht="12.75">
      <c r="A22" s="11">
        <v>3</v>
      </c>
      <c r="B22" s="229">
        <v>11373</v>
      </c>
      <c r="C22" s="216" t="s">
        <v>60</v>
      </c>
      <c r="D22" s="278" t="s">
        <v>61</v>
      </c>
      <c r="E22" s="216" t="s">
        <v>55</v>
      </c>
      <c r="F22" s="216">
        <v>225</v>
      </c>
      <c r="G22" s="216">
        <v>360</v>
      </c>
      <c r="H22" s="216" t="s">
        <v>56</v>
      </c>
      <c r="I22" s="215">
        <v>200</v>
      </c>
      <c r="J22" s="11"/>
      <c r="K22" s="11"/>
      <c r="L22" s="11"/>
    </row>
    <row r="23" spans="1:12" ht="12.75">
      <c r="A23" s="11">
        <v>4</v>
      </c>
      <c r="B23" s="229">
        <v>10425</v>
      </c>
      <c r="C23" s="216" t="s">
        <v>62</v>
      </c>
      <c r="D23" s="279" t="s">
        <v>63</v>
      </c>
      <c r="E23" s="216" t="s">
        <v>59</v>
      </c>
      <c r="F23" s="216">
        <v>410</v>
      </c>
      <c r="G23" s="216">
        <v>520</v>
      </c>
      <c r="H23" s="216" t="s">
        <v>56</v>
      </c>
      <c r="I23" s="215">
        <v>200</v>
      </c>
      <c r="J23" s="11"/>
      <c r="K23" s="11"/>
      <c r="L23" s="11"/>
    </row>
    <row r="24" spans="1:12" ht="12.75">
      <c r="A24" s="11">
        <v>5</v>
      </c>
      <c r="B24" s="229">
        <v>10505</v>
      </c>
      <c r="C24" s="216" t="s">
        <v>64</v>
      </c>
      <c r="D24" s="279" t="s">
        <v>65</v>
      </c>
      <c r="E24" s="216" t="s">
        <v>59</v>
      </c>
      <c r="F24" s="216">
        <v>500</v>
      </c>
      <c r="G24" s="216">
        <v>550</v>
      </c>
      <c r="H24" s="216" t="s">
        <v>56</v>
      </c>
      <c r="I24" s="215">
        <v>200</v>
      </c>
      <c r="J24" s="11"/>
      <c r="K24" s="11"/>
      <c r="L24" s="11"/>
    </row>
    <row r="25" spans="1:12" ht="12.75">
      <c r="A25" s="11">
        <v>6</v>
      </c>
      <c r="B25" s="230" t="s">
        <v>66</v>
      </c>
      <c r="C25" s="216" t="s">
        <v>67</v>
      </c>
      <c r="D25" s="278" t="s">
        <v>68</v>
      </c>
      <c r="E25" s="216" t="s">
        <v>59</v>
      </c>
      <c r="F25" s="216">
        <v>490</v>
      </c>
      <c r="G25" s="216">
        <v>550</v>
      </c>
      <c r="H25" s="216" t="s">
        <v>56</v>
      </c>
      <c r="I25" s="215">
        <v>200</v>
      </c>
      <c r="J25" s="11"/>
      <c r="K25" s="11"/>
      <c r="L25" s="11"/>
    </row>
    <row r="26" spans="1:11" ht="13.5" thickBot="1">
      <c r="A26" s="11">
        <v>7</v>
      </c>
      <c r="B26" s="231" t="s">
        <v>69</v>
      </c>
      <c r="C26" s="221" t="s">
        <v>70</v>
      </c>
      <c r="D26" s="280" t="s">
        <v>71</v>
      </c>
      <c r="E26" s="221" t="s">
        <v>59</v>
      </c>
      <c r="F26" s="221">
        <v>490</v>
      </c>
      <c r="G26" s="221">
        <v>539</v>
      </c>
      <c r="H26" s="221" t="s">
        <v>56</v>
      </c>
      <c r="I26" s="220">
        <v>200</v>
      </c>
      <c r="J26" s="11"/>
      <c r="K26" s="11"/>
    </row>
    <row r="27" spans="1:13" ht="12.75">
      <c r="A27" s="11"/>
      <c r="B27" s="273"/>
      <c r="C27" s="273" t="s">
        <v>96</v>
      </c>
      <c r="D27" s="273" t="s">
        <v>97</v>
      </c>
      <c r="E27" s="273" t="s">
        <v>96</v>
      </c>
      <c r="F27" s="273" t="s">
        <v>97</v>
      </c>
      <c r="G27" s="273" t="s">
        <v>143</v>
      </c>
      <c r="H27" s="273" t="s">
        <v>167</v>
      </c>
      <c r="I27" s="273"/>
      <c r="J27" s="273" t="s">
        <v>96</v>
      </c>
      <c r="K27" s="273" t="s">
        <v>97</v>
      </c>
      <c r="L27" s="274"/>
      <c r="M27" s="274"/>
    </row>
    <row r="28" spans="2:13" ht="12.75">
      <c r="B28" s="275" t="s">
        <v>45</v>
      </c>
      <c r="C28" s="276">
        <v>5</v>
      </c>
      <c r="D28" s="276">
        <v>5</v>
      </c>
      <c r="E28" s="276">
        <v>5</v>
      </c>
      <c r="F28" s="276">
        <v>1</v>
      </c>
      <c r="G28" s="276">
        <v>5</v>
      </c>
      <c r="H28" s="276">
        <v>5</v>
      </c>
      <c r="I28" s="276">
        <v>5</v>
      </c>
      <c r="J28" s="276">
        <v>4</v>
      </c>
      <c r="K28" s="276">
        <v>4</v>
      </c>
      <c r="L28" s="276">
        <v>5</v>
      </c>
      <c r="M28" s="277"/>
    </row>
    <row r="29" ht="12.75"/>
    <row r="30" ht="13.5" thickBot="1">
      <c r="B30" s="192" t="s">
        <v>89</v>
      </c>
    </row>
    <row r="31" spans="2:13" ht="40.5" customHeight="1">
      <c r="B31" s="232" t="s">
        <v>92</v>
      </c>
      <c r="C31" s="233" t="s">
        <v>91</v>
      </c>
      <c r="D31" s="233" t="s">
        <v>90</v>
      </c>
      <c r="E31" s="234"/>
      <c r="F31" s="234"/>
      <c r="G31" s="234"/>
      <c r="H31" s="234"/>
      <c r="I31" s="234" t="s">
        <v>94</v>
      </c>
      <c r="J31" s="234"/>
      <c r="K31" s="234"/>
      <c r="L31" s="234"/>
      <c r="M31" s="235" t="s">
        <v>95</v>
      </c>
    </row>
    <row r="32" spans="2:13" ht="12.75">
      <c r="B32" s="236" t="s">
        <v>8</v>
      </c>
      <c r="C32" s="9" t="s">
        <v>93</v>
      </c>
      <c r="D32" s="9" t="s">
        <v>8</v>
      </c>
      <c r="E32" s="9">
        <v>1</v>
      </c>
      <c r="F32" s="9">
        <v>2</v>
      </c>
      <c r="G32" s="9">
        <v>3</v>
      </c>
      <c r="H32" s="9">
        <v>4</v>
      </c>
      <c r="I32" s="9">
        <v>5</v>
      </c>
      <c r="J32" s="9">
        <v>6</v>
      </c>
      <c r="K32" s="9">
        <v>7</v>
      </c>
      <c r="L32" s="9">
        <v>8</v>
      </c>
      <c r="M32" s="237">
        <v>9</v>
      </c>
    </row>
    <row r="33" spans="1:13" ht="12.75">
      <c r="A33" s="1">
        <v>1</v>
      </c>
      <c r="B33" s="238">
        <v>5.5</v>
      </c>
      <c r="C33" s="74">
        <v>0.187</v>
      </c>
      <c r="D33" s="74">
        <f>3.14*B33</f>
        <v>17.27</v>
      </c>
      <c r="E33" s="74">
        <f>E32*(0.7854*$B$33^2)</f>
        <v>23.75835</v>
      </c>
      <c r="F33" s="74">
        <f>$F$32*(0.7854*B33^2)</f>
        <v>47.5167</v>
      </c>
      <c r="G33" s="74">
        <f>$G$32*(0.7854*B33^2)</f>
        <v>71.27505</v>
      </c>
      <c r="H33" s="74">
        <f>$H$32*(0.7854*B33^2)</f>
        <v>95.0334</v>
      </c>
      <c r="I33" s="74">
        <f>$I$32*(0.7854*B33^2)</f>
        <v>118.79175000000001</v>
      </c>
      <c r="J33" s="74">
        <f>$J$32*(0.7854*B33^2)</f>
        <v>142.5501</v>
      </c>
      <c r="K33" s="74">
        <f>$K$32*(0.7854*B33^2)</f>
        <v>166.30845</v>
      </c>
      <c r="L33" s="74">
        <f>$L$32*(0.7854*B33^2)</f>
        <v>190.0668</v>
      </c>
      <c r="M33" s="239">
        <f>$M$32*(0.7854*B33^2)</f>
        <v>213.82515</v>
      </c>
    </row>
    <row r="34" spans="1:13" ht="12.75">
      <c r="A34" s="1">
        <v>2</v>
      </c>
      <c r="B34" s="238">
        <v>6</v>
      </c>
      <c r="C34" s="74">
        <v>0.222</v>
      </c>
      <c r="D34" s="74">
        <f aca="true" t="shared" si="0" ref="D34:D50">3.14*B34</f>
        <v>18.84</v>
      </c>
      <c r="E34" s="74">
        <f aca="true" t="shared" si="1" ref="E34:E50">$E$32*(0.7854*B34^2)</f>
        <v>28.2744</v>
      </c>
      <c r="F34" s="74">
        <f aca="true" t="shared" si="2" ref="F34:F50">$F$32*(0.7854*B34^2)</f>
        <v>56.5488</v>
      </c>
      <c r="G34" s="74">
        <f aca="true" t="shared" si="3" ref="G34:G50">$G$32*(0.7854*B34^2)</f>
        <v>84.8232</v>
      </c>
      <c r="H34" s="74">
        <f aca="true" t="shared" si="4" ref="H34:H50">$H$32*(0.7854*B34^2)</f>
        <v>113.0976</v>
      </c>
      <c r="I34" s="74">
        <f aca="true" t="shared" si="5" ref="I34:I50">$I$32*(0.7854*B34^2)</f>
        <v>141.372</v>
      </c>
      <c r="J34" s="74">
        <f aca="true" t="shared" si="6" ref="J34:J50">$J$32*(0.7854*B34^2)</f>
        <v>169.6464</v>
      </c>
      <c r="K34" s="74">
        <f aca="true" t="shared" si="7" ref="K34:K50">$K$32*(0.7854*B34^2)</f>
        <v>197.92079999999999</v>
      </c>
      <c r="L34" s="74">
        <f aca="true" t="shared" si="8" ref="L34:L50">$L$32*(0.7854*B34^2)</f>
        <v>226.1952</v>
      </c>
      <c r="M34" s="239">
        <f aca="true" t="shared" si="9" ref="M34:M50">$M$32*(0.7854*B34^2)</f>
        <v>254.4696</v>
      </c>
    </row>
    <row r="35" spans="1:13" ht="12.75">
      <c r="A35" s="1">
        <v>3</v>
      </c>
      <c r="B35" s="238">
        <v>6.5</v>
      </c>
      <c r="C35" s="74">
        <v>0.26</v>
      </c>
      <c r="D35" s="74">
        <f t="shared" si="0"/>
        <v>20.41</v>
      </c>
      <c r="E35" s="74">
        <f t="shared" si="1"/>
        <v>33.18315</v>
      </c>
      <c r="F35" s="74">
        <f t="shared" si="2"/>
        <v>66.3663</v>
      </c>
      <c r="G35" s="74">
        <f t="shared" si="3"/>
        <v>99.54945</v>
      </c>
      <c r="H35" s="74">
        <f t="shared" si="4"/>
        <v>132.7326</v>
      </c>
      <c r="I35" s="74">
        <f t="shared" si="5"/>
        <v>165.91575</v>
      </c>
      <c r="J35" s="74">
        <f t="shared" si="6"/>
        <v>199.0989</v>
      </c>
      <c r="K35" s="74">
        <f t="shared" si="7"/>
        <v>232.28204999999997</v>
      </c>
      <c r="L35" s="74">
        <f t="shared" si="8"/>
        <v>265.4652</v>
      </c>
      <c r="M35" s="239">
        <f t="shared" si="9"/>
        <v>298.64835</v>
      </c>
    </row>
    <row r="36" spans="1:13" ht="12.75">
      <c r="A36" s="1">
        <v>4</v>
      </c>
      <c r="B36" s="238">
        <v>7</v>
      </c>
      <c r="C36" s="74">
        <v>0.303</v>
      </c>
      <c r="D36" s="74">
        <f t="shared" si="0"/>
        <v>21.98</v>
      </c>
      <c r="E36" s="74">
        <f t="shared" si="1"/>
        <v>38.4846</v>
      </c>
      <c r="F36" s="74">
        <f t="shared" si="2"/>
        <v>76.9692</v>
      </c>
      <c r="G36" s="74">
        <f t="shared" si="3"/>
        <v>115.4538</v>
      </c>
      <c r="H36" s="74">
        <f t="shared" si="4"/>
        <v>153.9384</v>
      </c>
      <c r="I36" s="74">
        <f t="shared" si="5"/>
        <v>192.423</v>
      </c>
      <c r="J36" s="74">
        <f t="shared" si="6"/>
        <v>230.9076</v>
      </c>
      <c r="K36" s="74">
        <f t="shared" si="7"/>
        <v>269.3922</v>
      </c>
      <c r="L36" s="74">
        <f t="shared" si="8"/>
        <v>307.8768</v>
      </c>
      <c r="M36" s="239">
        <f t="shared" si="9"/>
        <v>346.3614</v>
      </c>
    </row>
    <row r="37" spans="1:13" ht="12.75">
      <c r="A37" s="1">
        <v>5</v>
      </c>
      <c r="B37" s="238">
        <v>8</v>
      </c>
      <c r="C37" s="74">
        <v>0.395</v>
      </c>
      <c r="D37" s="74">
        <f t="shared" si="0"/>
        <v>25.12</v>
      </c>
      <c r="E37" s="74">
        <f t="shared" si="1"/>
        <v>50.2656</v>
      </c>
      <c r="F37" s="74">
        <f t="shared" si="2"/>
        <v>100.5312</v>
      </c>
      <c r="G37" s="74">
        <f t="shared" si="3"/>
        <v>150.7968</v>
      </c>
      <c r="H37" s="74">
        <f t="shared" si="4"/>
        <v>201.0624</v>
      </c>
      <c r="I37" s="74">
        <f t="shared" si="5"/>
        <v>251.328</v>
      </c>
      <c r="J37" s="74">
        <f t="shared" si="6"/>
        <v>301.5936</v>
      </c>
      <c r="K37" s="74">
        <f t="shared" si="7"/>
        <v>351.8592</v>
      </c>
      <c r="L37" s="74">
        <f t="shared" si="8"/>
        <v>402.1248</v>
      </c>
      <c r="M37" s="239">
        <f t="shared" si="9"/>
        <v>452.3904</v>
      </c>
    </row>
    <row r="38" spans="1:13" ht="12.75">
      <c r="A38" s="1">
        <v>6</v>
      </c>
      <c r="B38" s="238">
        <v>10</v>
      </c>
      <c r="C38" s="74">
        <v>0.617</v>
      </c>
      <c r="D38" s="74">
        <f t="shared" si="0"/>
        <v>31.400000000000002</v>
      </c>
      <c r="E38" s="74">
        <f t="shared" si="1"/>
        <v>78.53999999999999</v>
      </c>
      <c r="F38" s="74">
        <f t="shared" si="2"/>
        <v>157.07999999999998</v>
      </c>
      <c r="G38" s="74">
        <f t="shared" si="3"/>
        <v>235.61999999999998</v>
      </c>
      <c r="H38" s="74">
        <f t="shared" si="4"/>
        <v>314.15999999999997</v>
      </c>
      <c r="I38" s="74">
        <f t="shared" si="5"/>
        <v>392.69999999999993</v>
      </c>
      <c r="J38" s="74">
        <f t="shared" si="6"/>
        <v>471.23999999999995</v>
      </c>
      <c r="K38" s="74">
        <f t="shared" si="7"/>
        <v>549.78</v>
      </c>
      <c r="L38" s="74">
        <f t="shared" si="8"/>
        <v>628.3199999999999</v>
      </c>
      <c r="M38" s="239">
        <f t="shared" si="9"/>
        <v>706.8599999999999</v>
      </c>
    </row>
    <row r="39" spans="1:13" ht="12.75">
      <c r="A39" s="1">
        <v>7</v>
      </c>
      <c r="B39" s="238">
        <v>12</v>
      </c>
      <c r="C39" s="74">
        <v>0.888</v>
      </c>
      <c r="D39" s="74">
        <f t="shared" si="0"/>
        <v>37.68</v>
      </c>
      <c r="E39" s="74">
        <f t="shared" si="1"/>
        <v>113.0976</v>
      </c>
      <c r="F39" s="74">
        <f t="shared" si="2"/>
        <v>226.1952</v>
      </c>
      <c r="G39" s="74">
        <f t="shared" si="3"/>
        <v>339.2928</v>
      </c>
      <c r="H39" s="74">
        <f t="shared" si="4"/>
        <v>452.3904</v>
      </c>
      <c r="I39" s="74">
        <f t="shared" si="5"/>
        <v>565.488</v>
      </c>
      <c r="J39" s="74">
        <f>$J$32*(0.7854*B39^2)</f>
        <v>678.5856</v>
      </c>
      <c r="K39" s="74">
        <f t="shared" si="7"/>
        <v>791.6831999999999</v>
      </c>
      <c r="L39" s="74">
        <f t="shared" si="8"/>
        <v>904.7808</v>
      </c>
      <c r="M39" s="239">
        <f t="shared" si="9"/>
        <v>1017.8784</v>
      </c>
    </row>
    <row r="40" spans="1:13" ht="12.75">
      <c r="A40" s="1">
        <v>8</v>
      </c>
      <c r="B40" s="238">
        <v>14</v>
      </c>
      <c r="C40" s="74">
        <v>1.208</v>
      </c>
      <c r="D40" s="74">
        <f t="shared" si="0"/>
        <v>43.96</v>
      </c>
      <c r="E40" s="74">
        <f t="shared" si="1"/>
        <v>153.9384</v>
      </c>
      <c r="F40" s="74">
        <f t="shared" si="2"/>
        <v>307.8768</v>
      </c>
      <c r="G40" s="74">
        <f t="shared" si="3"/>
        <v>461.8152</v>
      </c>
      <c r="H40" s="74">
        <f t="shared" si="4"/>
        <v>615.7536</v>
      </c>
      <c r="I40" s="74">
        <f t="shared" si="5"/>
        <v>769.692</v>
      </c>
      <c r="J40" s="74">
        <f t="shared" si="6"/>
        <v>923.6304</v>
      </c>
      <c r="K40" s="74">
        <f t="shared" si="7"/>
        <v>1077.5688</v>
      </c>
      <c r="L40" s="74">
        <f t="shared" si="8"/>
        <v>1231.5072</v>
      </c>
      <c r="M40" s="239">
        <f t="shared" si="9"/>
        <v>1385.4456</v>
      </c>
    </row>
    <row r="41" spans="1:13" ht="12.75">
      <c r="A41" s="1">
        <v>9</v>
      </c>
      <c r="B41" s="238">
        <v>16</v>
      </c>
      <c r="C41" s="74">
        <v>1.578</v>
      </c>
      <c r="D41" s="74">
        <f t="shared" si="0"/>
        <v>50.24</v>
      </c>
      <c r="E41" s="74">
        <f t="shared" si="1"/>
        <v>201.0624</v>
      </c>
      <c r="F41" s="74">
        <f t="shared" si="2"/>
        <v>402.1248</v>
      </c>
      <c r="G41" s="74">
        <f t="shared" si="3"/>
        <v>603.1872</v>
      </c>
      <c r="H41" s="74">
        <f t="shared" si="4"/>
        <v>804.2496</v>
      </c>
      <c r="I41" s="74">
        <f t="shared" si="5"/>
        <v>1005.312</v>
      </c>
      <c r="J41" s="74">
        <f t="shared" si="6"/>
        <v>1206.3744</v>
      </c>
      <c r="K41" s="74">
        <f t="shared" si="7"/>
        <v>1407.4368</v>
      </c>
      <c r="L41" s="74">
        <f t="shared" si="8"/>
        <v>1608.4992</v>
      </c>
      <c r="M41" s="239">
        <f t="shared" si="9"/>
        <v>1809.5616</v>
      </c>
    </row>
    <row r="42" spans="1:13" ht="12.75">
      <c r="A42" s="1">
        <v>10</v>
      </c>
      <c r="B42" s="238">
        <v>18</v>
      </c>
      <c r="C42" s="74">
        <v>1.998</v>
      </c>
      <c r="D42" s="74">
        <f t="shared" si="0"/>
        <v>56.52</v>
      </c>
      <c r="E42" s="74">
        <f t="shared" si="1"/>
        <v>254.46959999999999</v>
      </c>
      <c r="F42" s="74">
        <f t="shared" si="2"/>
        <v>508.93919999999997</v>
      </c>
      <c r="G42" s="74">
        <f t="shared" si="3"/>
        <v>763.4087999999999</v>
      </c>
      <c r="H42" s="74">
        <f t="shared" si="4"/>
        <v>1017.8783999999999</v>
      </c>
      <c r="I42" s="74">
        <f t="shared" si="5"/>
        <v>1272.348</v>
      </c>
      <c r="J42" s="74">
        <f t="shared" si="6"/>
        <v>1526.8175999999999</v>
      </c>
      <c r="K42" s="74">
        <f t="shared" si="7"/>
        <v>1781.2872</v>
      </c>
      <c r="L42" s="74">
        <f>$L$32*(0.7854*B42^2)</f>
        <v>2035.7567999999999</v>
      </c>
      <c r="M42" s="239">
        <f t="shared" si="9"/>
        <v>2290.2264</v>
      </c>
    </row>
    <row r="43" spans="1:13" ht="12.75">
      <c r="A43" s="1">
        <v>11</v>
      </c>
      <c r="B43" s="238">
        <v>20</v>
      </c>
      <c r="C43" s="74">
        <v>2.466</v>
      </c>
      <c r="D43" s="74">
        <f t="shared" si="0"/>
        <v>62.800000000000004</v>
      </c>
      <c r="E43" s="74">
        <f t="shared" si="1"/>
        <v>314.15999999999997</v>
      </c>
      <c r="F43" s="74">
        <f t="shared" si="2"/>
        <v>628.3199999999999</v>
      </c>
      <c r="G43" s="74">
        <f t="shared" si="3"/>
        <v>942.4799999999999</v>
      </c>
      <c r="H43" s="74">
        <f t="shared" si="4"/>
        <v>1256.6399999999999</v>
      </c>
      <c r="I43" s="74">
        <f t="shared" si="5"/>
        <v>1570.7999999999997</v>
      </c>
      <c r="J43" s="74">
        <f t="shared" si="6"/>
        <v>1884.9599999999998</v>
      </c>
      <c r="K43" s="74">
        <f t="shared" si="7"/>
        <v>2199.12</v>
      </c>
      <c r="L43" s="74">
        <f t="shared" si="8"/>
        <v>2513.2799999999997</v>
      </c>
      <c r="M43" s="239">
        <f t="shared" si="9"/>
        <v>2827.4399999999996</v>
      </c>
    </row>
    <row r="44" spans="1:13" ht="12.75">
      <c r="A44" s="1">
        <v>12</v>
      </c>
      <c r="B44" s="238">
        <v>22</v>
      </c>
      <c r="C44" s="74">
        <v>2.984</v>
      </c>
      <c r="D44" s="74">
        <f t="shared" si="0"/>
        <v>69.08</v>
      </c>
      <c r="E44" s="74">
        <f t="shared" si="1"/>
        <v>380.1336</v>
      </c>
      <c r="F44" s="74">
        <f t="shared" si="2"/>
        <v>760.2672</v>
      </c>
      <c r="G44" s="74">
        <f t="shared" si="3"/>
        <v>1140.4008</v>
      </c>
      <c r="H44" s="74">
        <f t="shared" si="4"/>
        <v>1520.5344</v>
      </c>
      <c r="I44" s="74">
        <f t="shared" si="5"/>
        <v>1900.6680000000001</v>
      </c>
      <c r="J44" s="74">
        <f t="shared" si="6"/>
        <v>2280.8016</v>
      </c>
      <c r="K44" s="74">
        <f t="shared" si="7"/>
        <v>2660.9352</v>
      </c>
      <c r="L44" s="74">
        <f t="shared" si="8"/>
        <v>3041.0688</v>
      </c>
      <c r="M44" s="239">
        <f t="shared" si="9"/>
        <v>3421.2024</v>
      </c>
    </row>
    <row r="45" spans="1:13" ht="12.75">
      <c r="A45" s="1">
        <v>13</v>
      </c>
      <c r="B45" s="238">
        <v>25</v>
      </c>
      <c r="C45" s="74">
        <v>3.853</v>
      </c>
      <c r="D45" s="74">
        <f t="shared" si="0"/>
        <v>78.5</v>
      </c>
      <c r="E45" s="74">
        <f t="shared" si="1"/>
        <v>490.875</v>
      </c>
      <c r="F45" s="74">
        <f t="shared" si="2"/>
        <v>981.75</v>
      </c>
      <c r="G45" s="74">
        <f t="shared" si="3"/>
        <v>1472.625</v>
      </c>
      <c r="H45" s="74">
        <f t="shared" si="4"/>
        <v>1963.5</v>
      </c>
      <c r="I45" s="74">
        <f t="shared" si="5"/>
        <v>2454.375</v>
      </c>
      <c r="J45" s="74">
        <f t="shared" si="6"/>
        <v>2945.25</v>
      </c>
      <c r="K45" s="74">
        <f t="shared" si="7"/>
        <v>3436.125</v>
      </c>
      <c r="L45" s="74">
        <f t="shared" si="8"/>
        <v>3927</v>
      </c>
      <c r="M45" s="239">
        <f t="shared" si="9"/>
        <v>4417.875</v>
      </c>
    </row>
    <row r="46" spans="1:13" ht="12.75">
      <c r="A46" s="1">
        <v>14</v>
      </c>
      <c r="B46" s="238">
        <v>28</v>
      </c>
      <c r="C46" s="74">
        <v>4.834</v>
      </c>
      <c r="D46" s="74">
        <f t="shared" si="0"/>
        <v>87.92</v>
      </c>
      <c r="E46" s="74">
        <f t="shared" si="1"/>
        <v>615.7536</v>
      </c>
      <c r="F46" s="74">
        <f t="shared" si="2"/>
        <v>1231.5072</v>
      </c>
      <c r="G46" s="74">
        <f t="shared" si="3"/>
        <v>1847.2608</v>
      </c>
      <c r="H46" s="74">
        <f t="shared" si="4"/>
        <v>2463.0144</v>
      </c>
      <c r="I46" s="74">
        <f t="shared" si="5"/>
        <v>3078.768</v>
      </c>
      <c r="J46" s="74">
        <f t="shared" si="6"/>
        <v>3694.5216</v>
      </c>
      <c r="K46" s="74">
        <f t="shared" si="7"/>
        <v>4310.2752</v>
      </c>
      <c r="L46" s="74">
        <f t="shared" si="8"/>
        <v>4926.0288</v>
      </c>
      <c r="M46" s="239">
        <f t="shared" si="9"/>
        <v>5541.7824</v>
      </c>
    </row>
    <row r="47" spans="1:13" ht="12.75">
      <c r="A47" s="1">
        <v>15</v>
      </c>
      <c r="B47" s="238">
        <v>32</v>
      </c>
      <c r="C47" s="74">
        <v>6.313</v>
      </c>
      <c r="D47" s="74">
        <f t="shared" si="0"/>
        <v>100.48</v>
      </c>
      <c r="E47" s="74">
        <f t="shared" si="1"/>
        <v>804.2496</v>
      </c>
      <c r="F47" s="74">
        <f t="shared" si="2"/>
        <v>1608.4992</v>
      </c>
      <c r="G47" s="74">
        <f t="shared" si="3"/>
        <v>2412.7488</v>
      </c>
      <c r="H47" s="74">
        <f t="shared" si="4"/>
        <v>3216.9984</v>
      </c>
      <c r="I47" s="74">
        <f t="shared" si="5"/>
        <v>4021.248</v>
      </c>
      <c r="J47" s="74">
        <f t="shared" si="6"/>
        <v>4825.4976</v>
      </c>
      <c r="K47" s="74">
        <f t="shared" si="7"/>
        <v>5629.7472</v>
      </c>
      <c r="L47" s="74">
        <f t="shared" si="8"/>
        <v>6433.9968</v>
      </c>
      <c r="M47" s="239">
        <f t="shared" si="9"/>
        <v>7238.2464</v>
      </c>
    </row>
    <row r="48" spans="1:13" ht="12.75">
      <c r="A48" s="1">
        <v>16</v>
      </c>
      <c r="B48" s="240">
        <v>36</v>
      </c>
      <c r="C48" s="74">
        <v>7.99</v>
      </c>
      <c r="D48" s="74">
        <f t="shared" si="0"/>
        <v>113.04</v>
      </c>
      <c r="E48" s="74">
        <f t="shared" si="1"/>
        <v>1017.8783999999999</v>
      </c>
      <c r="F48" s="74">
        <f t="shared" si="2"/>
        <v>2035.7567999999999</v>
      </c>
      <c r="G48" s="74">
        <f t="shared" si="3"/>
        <v>3053.6351999999997</v>
      </c>
      <c r="H48" s="74">
        <f t="shared" si="4"/>
        <v>4071.5135999999998</v>
      </c>
      <c r="I48" s="74">
        <f t="shared" si="5"/>
        <v>5089.392</v>
      </c>
      <c r="J48" s="74">
        <f t="shared" si="6"/>
        <v>6107.270399999999</v>
      </c>
      <c r="K48" s="74">
        <f t="shared" si="7"/>
        <v>7125.1488</v>
      </c>
      <c r="L48" s="74">
        <f t="shared" si="8"/>
        <v>8143.0271999999995</v>
      </c>
      <c r="M48" s="239">
        <f t="shared" si="9"/>
        <v>9160.9056</v>
      </c>
    </row>
    <row r="49" spans="1:13" ht="12.75">
      <c r="A49" s="1">
        <v>17</v>
      </c>
      <c r="B49" s="240">
        <v>39</v>
      </c>
      <c r="C49" s="74">
        <v>9.378</v>
      </c>
      <c r="D49" s="74">
        <f t="shared" si="0"/>
        <v>122.46000000000001</v>
      </c>
      <c r="E49" s="74">
        <f t="shared" si="1"/>
        <v>1194.5934</v>
      </c>
      <c r="F49" s="74">
        <f t="shared" si="2"/>
        <v>2389.1868</v>
      </c>
      <c r="G49" s="74">
        <f t="shared" si="3"/>
        <v>3583.7802</v>
      </c>
      <c r="H49" s="74">
        <f t="shared" si="4"/>
        <v>4778.3736</v>
      </c>
      <c r="I49" s="74">
        <f t="shared" si="5"/>
        <v>5972.967</v>
      </c>
      <c r="J49" s="74">
        <f t="shared" si="6"/>
        <v>7167.5604</v>
      </c>
      <c r="K49" s="74">
        <f t="shared" si="7"/>
        <v>8362.1538</v>
      </c>
      <c r="L49" s="74">
        <f t="shared" si="8"/>
        <v>9556.7472</v>
      </c>
      <c r="M49" s="239">
        <f t="shared" si="9"/>
        <v>10751.3406</v>
      </c>
    </row>
    <row r="50" spans="1:13" ht="13.5" thickBot="1">
      <c r="A50" s="1">
        <v>18</v>
      </c>
      <c r="B50" s="241">
        <v>50</v>
      </c>
      <c r="C50" s="242">
        <v>15.413</v>
      </c>
      <c r="D50" s="242">
        <f t="shared" si="0"/>
        <v>157</v>
      </c>
      <c r="E50" s="242">
        <f t="shared" si="1"/>
        <v>1963.5</v>
      </c>
      <c r="F50" s="242">
        <f t="shared" si="2"/>
        <v>3927</v>
      </c>
      <c r="G50" s="242">
        <f t="shared" si="3"/>
        <v>5890.5</v>
      </c>
      <c r="H50" s="242">
        <f t="shared" si="4"/>
        <v>7854</v>
      </c>
      <c r="I50" s="242">
        <f t="shared" si="5"/>
        <v>9817.5</v>
      </c>
      <c r="J50" s="242">
        <f t="shared" si="6"/>
        <v>11781</v>
      </c>
      <c r="K50" s="242">
        <f t="shared" si="7"/>
        <v>13744.5</v>
      </c>
      <c r="L50" s="242">
        <f t="shared" si="8"/>
        <v>15708</v>
      </c>
      <c r="M50" s="243">
        <f t="shared" si="9"/>
        <v>17671.5</v>
      </c>
    </row>
    <row r="51" spans="2:13" ht="12.75">
      <c r="B51" s="273"/>
      <c r="C51" s="273" t="s">
        <v>96</v>
      </c>
      <c r="D51" s="273" t="s">
        <v>97</v>
      </c>
      <c r="E51" s="273" t="s">
        <v>96</v>
      </c>
      <c r="F51" s="273" t="s">
        <v>97</v>
      </c>
      <c r="G51" s="273" t="s">
        <v>143</v>
      </c>
      <c r="H51" s="273" t="s">
        <v>96</v>
      </c>
      <c r="I51" s="274" t="s">
        <v>97</v>
      </c>
      <c r="J51" s="274"/>
      <c r="K51" s="273" t="s">
        <v>96</v>
      </c>
      <c r="L51" s="273" t="s">
        <v>97</v>
      </c>
      <c r="M51" s="274"/>
    </row>
    <row r="52" spans="2:13" ht="12.75">
      <c r="B52" s="275" t="s">
        <v>45</v>
      </c>
      <c r="C52" s="276">
        <v>7</v>
      </c>
      <c r="D52" s="276">
        <v>2</v>
      </c>
      <c r="E52" s="276">
        <v>7</v>
      </c>
      <c r="F52" s="276">
        <v>6</v>
      </c>
      <c r="G52" s="276">
        <v>6</v>
      </c>
      <c r="H52" s="276">
        <v>11</v>
      </c>
      <c r="I52" s="276">
        <v>11</v>
      </c>
      <c r="J52" s="276">
        <v>7</v>
      </c>
      <c r="K52" s="276">
        <v>9</v>
      </c>
      <c r="L52" s="276">
        <v>9</v>
      </c>
      <c r="M52" s="277"/>
    </row>
    <row r="53" spans="2:13" ht="12.75">
      <c r="B53" s="1" t="s">
        <v>393</v>
      </c>
      <c r="G53" s="244"/>
      <c r="M53" s="67" t="s">
        <v>371</v>
      </c>
    </row>
    <row r="54" ht="12.75">
      <c r="B54" s="78"/>
    </row>
  </sheetData>
  <hyperlinks>
    <hyperlink ref="M53" r:id="rId1" display="http://www.pro-eng.com/"/>
  </hyperlink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240" verticalDpi="240" orientation="portrait" paperSize="9" scale="79" r:id="rId4"/>
  <headerFooter alignWithMargins="0">
    <oddHeader>&amp;CPosouzení betonových prvků dle EuroCode 2</oddHead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87" customWidth="1"/>
  </cols>
  <sheetData>
    <row r="1" ht="12.75">
      <c r="A1" s="286" t="s">
        <v>375</v>
      </c>
    </row>
    <row r="2" spans="1:9" ht="12.75">
      <c r="A2" s="288" t="s">
        <v>376</v>
      </c>
      <c r="B2" s="288" t="s">
        <v>377</v>
      </c>
      <c r="C2" s="289" t="s">
        <v>378</v>
      </c>
      <c r="D2" s="288" t="s">
        <v>379</v>
      </c>
      <c r="E2" s="288" t="s">
        <v>389</v>
      </c>
      <c r="F2" s="288" t="s">
        <v>380</v>
      </c>
      <c r="G2" s="288" t="s">
        <v>381</v>
      </c>
      <c r="H2" s="290" t="s">
        <v>382</v>
      </c>
      <c r="I2" s="291"/>
    </row>
    <row r="3" spans="1:9" ht="12.75">
      <c r="A3" s="292" t="s">
        <v>383</v>
      </c>
      <c r="B3" s="292"/>
      <c r="C3" s="292" t="s">
        <v>246</v>
      </c>
      <c r="D3" s="292" t="s">
        <v>237</v>
      </c>
      <c r="E3" s="292" t="s">
        <v>384</v>
      </c>
      <c r="F3" s="292" t="s">
        <v>237</v>
      </c>
      <c r="G3" s="292" t="s">
        <v>385</v>
      </c>
      <c r="H3" s="293">
        <v>10505</v>
      </c>
      <c r="I3" s="291"/>
    </row>
    <row r="4" spans="1:9" ht="12.75">
      <c r="A4" s="294"/>
      <c r="B4" s="294"/>
      <c r="C4" s="294"/>
      <c r="D4" s="294"/>
      <c r="E4" s="294"/>
      <c r="F4" s="294"/>
      <c r="G4" s="294"/>
      <c r="H4" s="295">
        <v>6</v>
      </c>
      <c r="I4" s="295">
        <v>10</v>
      </c>
    </row>
    <row r="5" spans="1:9" ht="12.75">
      <c r="A5" s="296"/>
      <c r="B5" s="297">
        <v>1</v>
      </c>
      <c r="C5" s="297">
        <v>10</v>
      </c>
      <c r="D5" s="297">
        <v>1.425</v>
      </c>
      <c r="E5" s="297">
        <v>2</v>
      </c>
      <c r="F5" s="297">
        <v>0.18</v>
      </c>
      <c r="G5" s="297">
        <f>CEILING(10.125/F5*E5,1)</f>
        <v>113</v>
      </c>
      <c r="H5" s="297"/>
      <c r="I5" s="297">
        <f>G5*D5</f>
        <v>161.025</v>
      </c>
    </row>
    <row r="6" spans="1:9" ht="12.75">
      <c r="A6" s="298"/>
      <c r="B6" s="297">
        <v>2</v>
      </c>
      <c r="C6" s="297">
        <v>10</v>
      </c>
      <c r="D6" s="297">
        <v>2.98</v>
      </c>
      <c r="E6" s="297">
        <v>2</v>
      </c>
      <c r="F6" s="297">
        <v>0.18</v>
      </c>
      <c r="G6" s="297">
        <f>CEILING(10.125/F6*E6,1)</f>
        <v>113</v>
      </c>
      <c r="H6" s="297"/>
      <c r="I6" s="297">
        <f>G6*D6</f>
        <v>336.74</v>
      </c>
    </row>
    <row r="7" spans="1:9" ht="12.75">
      <c r="A7" s="299" t="s">
        <v>386</v>
      </c>
      <c r="B7" s="297">
        <v>3</v>
      </c>
      <c r="C7" s="297">
        <v>10</v>
      </c>
      <c r="D7" s="297">
        <v>2.61</v>
      </c>
      <c r="E7" s="297">
        <v>5</v>
      </c>
      <c r="F7" s="297">
        <v>0.18</v>
      </c>
      <c r="G7" s="297">
        <f>CEILING(10.125/F7*E7,1)</f>
        <v>282</v>
      </c>
      <c r="H7" s="297"/>
      <c r="I7" s="297">
        <f>G7*D7</f>
        <v>736.02</v>
      </c>
    </row>
    <row r="8" spans="1:9" ht="12.75">
      <c r="A8" s="300"/>
      <c r="B8" s="297">
        <v>4</v>
      </c>
      <c r="C8" s="297">
        <v>10</v>
      </c>
      <c r="D8" s="297">
        <v>2.91</v>
      </c>
      <c r="E8" s="297">
        <v>4</v>
      </c>
      <c r="F8" s="297">
        <v>0.18</v>
      </c>
      <c r="G8" s="297">
        <f>CEILING(10.125/F8*E8,1)</f>
        <v>225</v>
      </c>
      <c r="H8" s="297"/>
      <c r="I8" s="297">
        <f>G8*D8</f>
        <v>654.75</v>
      </c>
    </row>
    <row r="9" spans="1:9" ht="12.75">
      <c r="A9" s="301"/>
      <c r="B9" s="297">
        <v>5</v>
      </c>
      <c r="C9" s="297">
        <v>6</v>
      </c>
      <c r="D9" s="297">
        <v>10.4</v>
      </c>
      <c r="E9" s="297"/>
      <c r="F9" s="297">
        <v>0.3</v>
      </c>
      <c r="G9" s="297">
        <v>113</v>
      </c>
      <c r="H9" s="297">
        <f>G9*D9</f>
        <v>1175.2</v>
      </c>
      <c r="I9" s="297"/>
    </row>
    <row r="10" spans="1:9" ht="12.75">
      <c r="A10" s="309" t="s">
        <v>385</v>
      </c>
      <c r="B10" s="310"/>
      <c r="C10" s="310"/>
      <c r="D10" s="310"/>
      <c r="E10" s="310"/>
      <c r="F10" s="311"/>
      <c r="G10" s="302" t="s">
        <v>1</v>
      </c>
      <c r="H10" s="297">
        <f>SUM(H5:H9)</f>
        <v>1175.2</v>
      </c>
      <c r="I10" s="297">
        <f>SUM(I5:I9)</f>
        <v>1888.5349999999999</v>
      </c>
    </row>
    <row r="11" spans="1:9" ht="12.75">
      <c r="A11" s="312"/>
      <c r="B11" s="313"/>
      <c r="C11" s="313"/>
      <c r="D11" s="313"/>
      <c r="E11" s="313"/>
      <c r="F11" s="314"/>
      <c r="G11" s="302" t="s">
        <v>93</v>
      </c>
      <c r="H11" s="297">
        <v>0.222</v>
      </c>
      <c r="I11" s="297">
        <v>0.617</v>
      </c>
    </row>
    <row r="12" spans="1:9" ht="12.75">
      <c r="A12" s="312"/>
      <c r="B12" s="313"/>
      <c r="C12" s="313"/>
      <c r="D12" s="313"/>
      <c r="E12" s="313"/>
      <c r="F12" s="314"/>
      <c r="G12" s="302" t="s">
        <v>387</v>
      </c>
      <c r="H12" s="297">
        <f>H10*H11</f>
        <v>260.8944</v>
      </c>
      <c r="I12" s="297">
        <f>I10*I11</f>
        <v>1165.226095</v>
      </c>
    </row>
    <row r="13" spans="1:9" ht="12.75">
      <c r="A13" s="315"/>
      <c r="B13" s="316"/>
      <c r="C13" s="316"/>
      <c r="D13" s="316"/>
      <c r="E13" s="316"/>
      <c r="F13" s="317"/>
      <c r="G13" s="303" t="s">
        <v>388</v>
      </c>
      <c r="H13" s="304"/>
      <c r="I13" s="305">
        <f>I12+H12</f>
        <v>1426.1204950000001</v>
      </c>
    </row>
  </sheetData>
  <mergeCells count="1">
    <mergeCell ref="A10:F13"/>
  </mergeCells>
  <printOptions horizontalCentered="1"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www.pro-eng.com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Dimenzování betonových konstrukcí dle ČSN P ENV 1992</dc:title>
  <dc:subject>ČSN P ENV 1992 (Eurocode 2), NAD - ČR</dc:subject>
  <dc:creator>Jan Hlaváček</dc:creator>
  <cp:keywords/>
  <dc:description/>
  <cp:lastModifiedBy>Jan</cp:lastModifiedBy>
  <cp:lastPrinted>2006-01-14T06:46:51Z</cp:lastPrinted>
  <dcterms:created xsi:type="dcterms:W3CDTF">1998-04-14T17:56:09Z</dcterms:created>
  <dcterms:modified xsi:type="dcterms:W3CDTF">2009-05-30T16:34:59Z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Jan Hlaváček</vt:lpwstr>
  </property>
  <property fmtid="{D5CDD505-2E9C-101B-9397-08002B2CF9AE}" pid="3" name="E-mail">
    <vt:lpwstr>jhlavacek@pro-eng.com</vt:lpwstr>
  </property>
  <property fmtid="{D5CDD505-2E9C-101B-9397-08002B2CF9AE}" pid="4" name="URL">
    <vt:lpwstr>http://www.pro-eng.com/</vt:lpwstr>
  </property>
  <property fmtid="{D5CDD505-2E9C-101B-9397-08002B2CF9AE}" pid="5" name="Telefon">
    <vt:lpwstr>+420-606491454</vt:lpwstr>
  </property>
</Properties>
</file>